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kymsoffice-my.sharepoint.com/personal/vickie_bowling_ky_gov/Documents/Desktop/"/>
    </mc:Choice>
  </mc:AlternateContent>
  <xr:revisionPtr revIDLastSave="0" documentId="14_{22CD32A9-F161-4085-BBEA-D7D3A8DC6AF3}" xr6:coauthVersionLast="47" xr6:coauthVersionMax="47" xr10:uidLastSave="{00000000-0000-0000-0000-000000000000}"/>
  <bookViews>
    <workbookView xWindow="28680" yWindow="-120" windowWidth="24240" windowHeight="13020" activeTab="1" xr2:uid="{B96EFF9A-0DF8-4503-ADF5-687D126E0D19}"/>
    <workbookView xWindow="28680" yWindow="-120" windowWidth="24240" windowHeight="13020" activeTab="2" xr2:uid="{49602629-1D6B-458F-B3D8-C0093C8770C7}"/>
  </bookViews>
  <sheets>
    <sheet name="Subsidy points" sheetId="1" r:id="rId1"/>
    <sheet name="rev benefit income range" sheetId="8" r:id="rId2"/>
    <sheet name="if no funding FFY26" sheetId="10" r:id="rId3"/>
    <sheet name="Points Description"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8" i="10" l="1"/>
  <c r="J33" i="10" l="1"/>
  <c r="I33" i="10"/>
  <c r="H33" i="10"/>
  <c r="G33" i="10"/>
  <c r="F33" i="10"/>
  <c r="E33" i="10"/>
  <c r="K33" i="10" s="1"/>
  <c r="J32" i="10"/>
  <c r="I32" i="10"/>
  <c r="H32" i="10"/>
  <c r="G32" i="10"/>
  <c r="F32" i="10"/>
  <c r="E32" i="10"/>
  <c r="K32" i="10" s="1"/>
  <c r="J31" i="10"/>
  <c r="I31" i="10"/>
  <c r="H31" i="10"/>
  <c r="G31" i="10"/>
  <c r="F31" i="10"/>
  <c r="E31" i="10"/>
  <c r="K31" i="10" s="1"/>
  <c r="J30" i="10"/>
  <c r="I30" i="10"/>
  <c r="H30" i="10"/>
  <c r="G30" i="10"/>
  <c r="F30" i="10"/>
  <c r="E30" i="10"/>
  <c r="K30" i="10" s="1"/>
  <c r="C45" i="8"/>
  <c r="C45" i="10" l="1"/>
  <c r="D43" i="10"/>
  <c r="T42" i="10"/>
  <c r="S42" i="10"/>
  <c r="R42" i="10"/>
  <c r="Q42" i="10"/>
  <c r="T41" i="10"/>
  <c r="S41" i="10"/>
  <c r="R41" i="10"/>
  <c r="Q41" i="10"/>
  <c r="C41" i="10"/>
  <c r="T40" i="10"/>
  <c r="S40" i="10"/>
  <c r="R40" i="10"/>
  <c r="Q40" i="10"/>
  <c r="D40" i="10"/>
  <c r="T39" i="10"/>
  <c r="S39" i="10"/>
  <c r="R39" i="10"/>
  <c r="Q39" i="10"/>
  <c r="T38" i="10"/>
  <c r="S38" i="10"/>
  <c r="R38" i="10"/>
  <c r="Q38" i="10"/>
  <c r="D38" i="10"/>
  <c r="T37" i="10"/>
  <c r="S37" i="10"/>
  <c r="R37" i="10"/>
  <c r="Q37" i="10"/>
  <c r="D37" i="10"/>
  <c r="C38" i="10" s="1"/>
  <c r="T36" i="10"/>
  <c r="S36" i="10"/>
  <c r="D42" i="10" s="1"/>
  <c r="R36" i="10"/>
  <c r="D41" i="10" s="1"/>
  <c r="Q36" i="10"/>
  <c r="D36" i="10"/>
  <c r="C37" i="10" s="1"/>
  <c r="T35" i="10"/>
  <c r="S35" i="10"/>
  <c r="R35" i="10"/>
  <c r="Q35" i="10"/>
  <c r="D35" i="10"/>
  <c r="C36" i="10" s="1"/>
  <c r="T34" i="10"/>
  <c r="S34" i="10"/>
  <c r="R34" i="10"/>
  <c r="D31" i="10" s="1"/>
  <c r="C32" i="10" s="1"/>
  <c r="Q34" i="10"/>
  <c r="D30" i="10" s="1"/>
  <c r="C31" i="10" s="1"/>
  <c r="T33" i="10"/>
  <c r="D28" i="10" s="1"/>
  <c r="S33" i="10"/>
  <c r="D27" i="10" s="1"/>
  <c r="C28" i="10" s="1"/>
  <c r="R33" i="10"/>
  <c r="Q33" i="10"/>
  <c r="D33" i="10"/>
  <c r="T32" i="10"/>
  <c r="D23" i="10" s="1"/>
  <c r="S32" i="10"/>
  <c r="D22" i="10" s="1"/>
  <c r="C23" i="10" s="1"/>
  <c r="R32" i="10"/>
  <c r="Q32" i="10"/>
  <c r="D32" i="10"/>
  <c r="C33" i="10" s="1"/>
  <c r="T31" i="10"/>
  <c r="S31" i="10"/>
  <c r="R31" i="10"/>
  <c r="Q31" i="10"/>
  <c r="T30" i="10"/>
  <c r="D13" i="10" s="1"/>
  <c r="S30" i="10"/>
  <c r="D12" i="10" s="1"/>
  <c r="C13" i="10" s="1"/>
  <c r="R30" i="10"/>
  <c r="Q30" i="10"/>
  <c r="T29" i="10"/>
  <c r="D8" i="10" s="1"/>
  <c r="S29" i="10"/>
  <c r="R29" i="10"/>
  <c r="Q29" i="10"/>
  <c r="J28" i="10"/>
  <c r="J72" i="10" s="1"/>
  <c r="I28" i="10"/>
  <c r="I72" i="10" s="1"/>
  <c r="H28" i="10"/>
  <c r="H72" i="10" s="1"/>
  <c r="G28" i="10"/>
  <c r="G72" i="10" s="1"/>
  <c r="F28" i="10"/>
  <c r="F72" i="10" s="1"/>
  <c r="E28" i="10"/>
  <c r="J27" i="10"/>
  <c r="J73" i="10" s="1"/>
  <c r="I27" i="10"/>
  <c r="I73" i="10" s="1"/>
  <c r="H27" i="10"/>
  <c r="H73" i="10" s="1"/>
  <c r="G27" i="10"/>
  <c r="G73" i="10" s="1"/>
  <c r="F27" i="10"/>
  <c r="F73" i="10" s="1"/>
  <c r="E27" i="10"/>
  <c r="C27" i="10"/>
  <c r="J26" i="10"/>
  <c r="J74" i="10" s="1"/>
  <c r="I26" i="10"/>
  <c r="I74" i="10" s="1"/>
  <c r="H26" i="10"/>
  <c r="H74" i="10" s="1"/>
  <c r="G26" i="10"/>
  <c r="G74" i="10" s="1"/>
  <c r="F26" i="10"/>
  <c r="F74" i="10" s="1"/>
  <c r="E26" i="10"/>
  <c r="D26" i="10"/>
  <c r="AB25" i="10"/>
  <c r="J25" i="10"/>
  <c r="J75" i="10" s="1"/>
  <c r="I25" i="10"/>
  <c r="I75" i="10" s="1"/>
  <c r="H25" i="10"/>
  <c r="H75" i="10" s="1"/>
  <c r="G25" i="10"/>
  <c r="G75" i="10" s="1"/>
  <c r="F25" i="10"/>
  <c r="F75" i="10" s="1"/>
  <c r="E25" i="10"/>
  <c r="D25" i="10"/>
  <c r="C26" i="10" s="1"/>
  <c r="C25" i="10"/>
  <c r="AB24" i="10"/>
  <c r="AB23" i="10"/>
  <c r="J23" i="10"/>
  <c r="J67" i="10" s="1"/>
  <c r="I23" i="10"/>
  <c r="I67" i="10" s="1"/>
  <c r="H23" i="10"/>
  <c r="H67" i="10" s="1"/>
  <c r="G23" i="10"/>
  <c r="G67" i="10" s="1"/>
  <c r="F23" i="10"/>
  <c r="F67" i="10" s="1"/>
  <c r="E23" i="10"/>
  <c r="AB22" i="10"/>
  <c r="J22" i="10"/>
  <c r="J68" i="10" s="1"/>
  <c r="I22" i="10"/>
  <c r="I68" i="10" s="1"/>
  <c r="H22" i="10"/>
  <c r="H68" i="10" s="1"/>
  <c r="G22" i="10"/>
  <c r="G68" i="10" s="1"/>
  <c r="F22" i="10"/>
  <c r="F68" i="10" s="1"/>
  <c r="E22" i="10"/>
  <c r="C22" i="10"/>
  <c r="AB21" i="10"/>
  <c r="J21" i="10"/>
  <c r="J69" i="10" s="1"/>
  <c r="I21" i="10"/>
  <c r="I69" i="10" s="1"/>
  <c r="H21" i="10"/>
  <c r="H69" i="10" s="1"/>
  <c r="G21" i="10"/>
  <c r="G69" i="10" s="1"/>
  <c r="F21" i="10"/>
  <c r="F69" i="10" s="1"/>
  <c r="E21" i="10"/>
  <c r="D21" i="10"/>
  <c r="AB20" i="10"/>
  <c r="J20" i="10"/>
  <c r="J70" i="10" s="1"/>
  <c r="I20" i="10"/>
  <c r="I70" i="10" s="1"/>
  <c r="H20" i="10"/>
  <c r="H70" i="10" s="1"/>
  <c r="G20" i="10"/>
  <c r="G70" i="10" s="1"/>
  <c r="F20" i="10"/>
  <c r="F70" i="10" s="1"/>
  <c r="E20" i="10"/>
  <c r="D20" i="10"/>
  <c r="C21" i="10" s="1"/>
  <c r="AB19" i="10"/>
  <c r="AB18" i="10"/>
  <c r="J18" i="10"/>
  <c r="J62" i="10" s="1"/>
  <c r="I18" i="10"/>
  <c r="I62" i="10" s="1"/>
  <c r="H18" i="10"/>
  <c r="H62" i="10" s="1"/>
  <c r="G18" i="10"/>
  <c r="G62" i="10" s="1"/>
  <c r="F18" i="10"/>
  <c r="F62" i="10" s="1"/>
  <c r="E18" i="10"/>
  <c r="D18" i="10"/>
  <c r="AB17" i="10"/>
  <c r="J17" i="10"/>
  <c r="J63" i="10" s="1"/>
  <c r="I17" i="10"/>
  <c r="I63" i="10" s="1"/>
  <c r="H17" i="10"/>
  <c r="H63" i="10" s="1"/>
  <c r="G17" i="10"/>
  <c r="G63" i="10" s="1"/>
  <c r="F17" i="10"/>
  <c r="F63" i="10" s="1"/>
  <c r="E17" i="10"/>
  <c r="D17" i="10"/>
  <c r="C18" i="10" s="1"/>
  <c r="C17" i="10"/>
  <c r="AB16" i="10"/>
  <c r="J16" i="10"/>
  <c r="J64" i="10" s="1"/>
  <c r="I16" i="10"/>
  <c r="I64" i="10" s="1"/>
  <c r="H16" i="10"/>
  <c r="H64" i="10" s="1"/>
  <c r="G16" i="10"/>
  <c r="G64" i="10" s="1"/>
  <c r="F16" i="10"/>
  <c r="F64" i="10" s="1"/>
  <c r="E16" i="10"/>
  <c r="K16" i="10" s="1"/>
  <c r="K64" i="10" s="1"/>
  <c r="D16" i="10"/>
  <c r="AB15" i="10"/>
  <c r="J15" i="10"/>
  <c r="J65" i="10" s="1"/>
  <c r="I15" i="10"/>
  <c r="I65" i="10" s="1"/>
  <c r="H15" i="10"/>
  <c r="H65" i="10" s="1"/>
  <c r="G15" i="10"/>
  <c r="G65" i="10" s="1"/>
  <c r="F15" i="10"/>
  <c r="F65" i="10" s="1"/>
  <c r="E15" i="10"/>
  <c r="D15" i="10"/>
  <c r="C16" i="10" s="1"/>
  <c r="AB14" i="10"/>
  <c r="AB13" i="10"/>
  <c r="J13" i="10"/>
  <c r="J57" i="10" s="1"/>
  <c r="I13" i="10"/>
  <c r="I57" i="10" s="1"/>
  <c r="H13" i="10"/>
  <c r="H57" i="10" s="1"/>
  <c r="G13" i="10"/>
  <c r="G57" i="10" s="1"/>
  <c r="F13" i="10"/>
  <c r="F57" i="10" s="1"/>
  <c r="E13" i="10"/>
  <c r="AB12" i="10"/>
  <c r="J12" i="10"/>
  <c r="J58" i="10" s="1"/>
  <c r="I12" i="10"/>
  <c r="I58" i="10" s="1"/>
  <c r="H12" i="10"/>
  <c r="H58" i="10" s="1"/>
  <c r="G12" i="10"/>
  <c r="G58" i="10" s="1"/>
  <c r="F12" i="10"/>
  <c r="F58" i="10" s="1"/>
  <c r="E12" i="10"/>
  <c r="C12" i="10"/>
  <c r="J11" i="10"/>
  <c r="J59" i="10" s="1"/>
  <c r="I11" i="10"/>
  <c r="I59" i="10" s="1"/>
  <c r="H11" i="10"/>
  <c r="H59" i="10" s="1"/>
  <c r="G11" i="10"/>
  <c r="G59" i="10" s="1"/>
  <c r="F11" i="10"/>
  <c r="F59" i="10" s="1"/>
  <c r="E11" i="10"/>
  <c r="D11" i="10"/>
  <c r="C11" i="10"/>
  <c r="J10" i="10"/>
  <c r="J60" i="10" s="1"/>
  <c r="I10" i="10"/>
  <c r="I60" i="10" s="1"/>
  <c r="H10" i="10"/>
  <c r="H60" i="10" s="1"/>
  <c r="G10" i="10"/>
  <c r="G60" i="10" s="1"/>
  <c r="F10" i="10"/>
  <c r="F60" i="10" s="1"/>
  <c r="E10" i="10"/>
  <c r="D10" i="10"/>
  <c r="J8" i="10"/>
  <c r="J52" i="10" s="1"/>
  <c r="I8" i="10"/>
  <c r="I52" i="10" s="1"/>
  <c r="H8" i="10"/>
  <c r="H52" i="10" s="1"/>
  <c r="G8" i="10"/>
  <c r="G52" i="10" s="1"/>
  <c r="F8" i="10"/>
  <c r="F52" i="10" s="1"/>
  <c r="E8" i="10"/>
  <c r="J7" i="10"/>
  <c r="J53" i="10" s="1"/>
  <c r="I7" i="10"/>
  <c r="I53" i="10" s="1"/>
  <c r="H7" i="10"/>
  <c r="H53" i="10" s="1"/>
  <c r="G7" i="10"/>
  <c r="G53" i="10" s="1"/>
  <c r="F7" i="10"/>
  <c r="F53" i="10" s="1"/>
  <c r="E7" i="10"/>
  <c r="D7" i="10"/>
  <c r="C8" i="10" s="1"/>
  <c r="J6" i="10"/>
  <c r="J54" i="10" s="1"/>
  <c r="I6" i="10"/>
  <c r="I54" i="10" s="1"/>
  <c r="H6" i="10"/>
  <c r="H54" i="10" s="1"/>
  <c r="G6" i="10"/>
  <c r="G54" i="10" s="1"/>
  <c r="F6" i="10"/>
  <c r="F54" i="10" s="1"/>
  <c r="E6" i="10"/>
  <c r="D6" i="10"/>
  <c r="C7" i="10" s="1"/>
  <c r="U5" i="10"/>
  <c r="J5" i="10"/>
  <c r="J55" i="10" s="1"/>
  <c r="I5" i="10"/>
  <c r="I55" i="10" s="1"/>
  <c r="H5" i="10"/>
  <c r="H55" i="10" s="1"/>
  <c r="G5" i="10"/>
  <c r="G55" i="10" s="1"/>
  <c r="F5" i="10"/>
  <c r="F55" i="10" s="1"/>
  <c r="E5" i="10"/>
  <c r="D5" i="10"/>
  <c r="C6" i="10" s="1"/>
  <c r="E68" i="10" l="1"/>
  <c r="K22" i="10"/>
  <c r="K68" i="10" s="1"/>
  <c r="E62" i="10"/>
  <c r="K18" i="10"/>
  <c r="K62" i="10" s="1"/>
  <c r="E57" i="10"/>
  <c r="K13" i="10"/>
  <c r="K57" i="10" s="1"/>
  <c r="E74" i="10"/>
  <c r="K26" i="10"/>
  <c r="K74" i="10" s="1"/>
  <c r="E64" i="10"/>
  <c r="E55" i="10"/>
  <c r="K5" i="10"/>
  <c r="K55" i="10" s="1"/>
  <c r="E59" i="10"/>
  <c r="K11" i="10"/>
  <c r="K59" i="10" s="1"/>
  <c r="E53" i="10"/>
  <c r="K7" i="10"/>
  <c r="K53" i="10" s="1"/>
  <c r="E72" i="10"/>
  <c r="K28" i="10"/>
  <c r="K72" i="10" s="1"/>
  <c r="E63" i="10"/>
  <c r="K17" i="10"/>
  <c r="K63" i="10" s="1"/>
  <c r="E60" i="10"/>
  <c r="K10" i="10"/>
  <c r="K60" i="10" s="1"/>
  <c r="E69" i="10"/>
  <c r="K21" i="10"/>
  <c r="K69" i="10" s="1"/>
  <c r="E75" i="10"/>
  <c r="K25" i="10"/>
  <c r="K75" i="10" s="1"/>
  <c r="E58" i="10"/>
  <c r="K12" i="10"/>
  <c r="K58" i="10" s="1"/>
  <c r="E54" i="10"/>
  <c r="K6" i="10"/>
  <c r="K54" i="10" s="1"/>
  <c r="E67" i="10"/>
  <c r="K23" i="10"/>
  <c r="K67" i="10" s="1"/>
  <c r="E52" i="10"/>
  <c r="K8" i="10"/>
  <c r="K52" i="10" s="1"/>
  <c r="E70" i="10"/>
  <c r="K20" i="10"/>
  <c r="K70" i="10" s="1"/>
  <c r="E73" i="10"/>
  <c r="K27" i="10"/>
  <c r="K73" i="10" s="1"/>
  <c r="E65" i="10"/>
  <c r="K15" i="10"/>
  <c r="K65" i="10" s="1"/>
  <c r="C42" i="10"/>
  <c r="C43" i="10"/>
  <c r="U5" i="8" l="1"/>
  <c r="D32" i="8"/>
  <c r="C33" i="8" s="1"/>
  <c r="AB15" i="8"/>
  <c r="AB14" i="8"/>
  <c r="K75" i="8"/>
  <c r="K74" i="8"/>
  <c r="K73" i="8"/>
  <c r="K72" i="8"/>
  <c r="K70" i="8"/>
  <c r="K69" i="8"/>
  <c r="K68" i="8"/>
  <c r="K67" i="8"/>
  <c r="K65" i="8"/>
  <c r="K64" i="8"/>
  <c r="K63" i="8"/>
  <c r="K62" i="8"/>
  <c r="K60" i="8"/>
  <c r="K59" i="8"/>
  <c r="K58" i="8"/>
  <c r="K57" i="8"/>
  <c r="K55" i="8"/>
  <c r="K54" i="8"/>
  <c r="K53" i="8"/>
  <c r="K52" i="8"/>
  <c r="T42" i="8"/>
  <c r="S42" i="8"/>
  <c r="R42" i="8"/>
  <c r="Q42" i="8"/>
  <c r="T41" i="8"/>
  <c r="S41" i="8"/>
  <c r="R41" i="8"/>
  <c r="Q41" i="8"/>
  <c r="T40" i="8"/>
  <c r="S40" i="8"/>
  <c r="R40" i="8"/>
  <c r="Q40" i="8"/>
  <c r="T39" i="8"/>
  <c r="S39" i="8"/>
  <c r="R39" i="8"/>
  <c r="Q39" i="8"/>
  <c r="T38" i="8"/>
  <c r="S38" i="8"/>
  <c r="R38" i="8"/>
  <c r="Q38" i="8"/>
  <c r="T37" i="8"/>
  <c r="S37" i="8"/>
  <c r="R37" i="8"/>
  <c r="Q37" i="8"/>
  <c r="T36" i="8"/>
  <c r="S36" i="8"/>
  <c r="D42" i="8" s="1"/>
  <c r="R36" i="8"/>
  <c r="Q36" i="8"/>
  <c r="D40" i="8" s="1"/>
  <c r="T35" i="8"/>
  <c r="D38" i="8" s="1"/>
  <c r="S35" i="8"/>
  <c r="R35" i="8"/>
  <c r="Q35" i="8"/>
  <c r="T34" i="8"/>
  <c r="D33" i="8" s="1"/>
  <c r="S34" i="8"/>
  <c r="R34" i="8"/>
  <c r="Q34" i="8"/>
  <c r="T33" i="8"/>
  <c r="S33" i="8"/>
  <c r="R33" i="8"/>
  <c r="Q33" i="8"/>
  <c r="D25" i="8" s="1"/>
  <c r="C26" i="8" s="1"/>
  <c r="T32" i="8"/>
  <c r="D23" i="8" s="1"/>
  <c r="S32" i="8"/>
  <c r="R32" i="8"/>
  <c r="Q32" i="8"/>
  <c r="D20" i="8" s="1"/>
  <c r="C21" i="8" s="1"/>
  <c r="T31" i="8"/>
  <c r="D18" i="8" s="1"/>
  <c r="S31" i="8"/>
  <c r="R31" i="8"/>
  <c r="Q31" i="8"/>
  <c r="T30" i="8"/>
  <c r="S30" i="8"/>
  <c r="R30" i="8"/>
  <c r="D11" i="8" s="1"/>
  <c r="C12" i="8" s="1"/>
  <c r="Q30" i="8"/>
  <c r="T29" i="8"/>
  <c r="D8" i="8" s="1"/>
  <c r="S29" i="8"/>
  <c r="R29" i="8"/>
  <c r="D6" i="8" s="1"/>
  <c r="C7" i="8" s="1"/>
  <c r="J28" i="8"/>
  <c r="J72" i="8" s="1"/>
  <c r="I28" i="8"/>
  <c r="I72" i="8" s="1"/>
  <c r="H28" i="8"/>
  <c r="H72" i="8" s="1"/>
  <c r="G28" i="8"/>
  <c r="G72" i="8" s="1"/>
  <c r="F28" i="8"/>
  <c r="F72" i="8" s="1"/>
  <c r="E28" i="8"/>
  <c r="E72" i="8" s="1"/>
  <c r="J27" i="8"/>
  <c r="J73" i="8" s="1"/>
  <c r="I27" i="8"/>
  <c r="I73" i="8" s="1"/>
  <c r="H27" i="8"/>
  <c r="H73" i="8" s="1"/>
  <c r="G27" i="8"/>
  <c r="G73" i="8" s="1"/>
  <c r="F27" i="8"/>
  <c r="F73" i="8" s="1"/>
  <c r="E27" i="8"/>
  <c r="E73" i="8" s="1"/>
  <c r="J26" i="8"/>
  <c r="J74" i="8" s="1"/>
  <c r="I26" i="8"/>
  <c r="I74" i="8" s="1"/>
  <c r="H26" i="8"/>
  <c r="H74" i="8" s="1"/>
  <c r="G26" i="8"/>
  <c r="G74" i="8" s="1"/>
  <c r="F26" i="8"/>
  <c r="F74" i="8" s="1"/>
  <c r="E26" i="8"/>
  <c r="E74" i="8" s="1"/>
  <c r="D26" i="8"/>
  <c r="C27" i="8" s="1"/>
  <c r="AB25" i="8"/>
  <c r="J25" i="8"/>
  <c r="J75" i="8" s="1"/>
  <c r="I25" i="8"/>
  <c r="I75" i="8" s="1"/>
  <c r="H25" i="8"/>
  <c r="H75" i="8" s="1"/>
  <c r="G25" i="8"/>
  <c r="G75" i="8" s="1"/>
  <c r="F25" i="8"/>
  <c r="F75" i="8" s="1"/>
  <c r="E25" i="8"/>
  <c r="E75" i="8" s="1"/>
  <c r="C25" i="8"/>
  <c r="AB24" i="8"/>
  <c r="AB23" i="8"/>
  <c r="J23" i="8"/>
  <c r="J67" i="8" s="1"/>
  <c r="I23" i="8"/>
  <c r="I67" i="8" s="1"/>
  <c r="H23" i="8"/>
  <c r="H67" i="8" s="1"/>
  <c r="G23" i="8"/>
  <c r="G67" i="8" s="1"/>
  <c r="F23" i="8"/>
  <c r="F67" i="8" s="1"/>
  <c r="E23" i="8"/>
  <c r="E67" i="8" s="1"/>
  <c r="AB22" i="8"/>
  <c r="J22" i="8"/>
  <c r="J68" i="8" s="1"/>
  <c r="I22" i="8"/>
  <c r="I68" i="8" s="1"/>
  <c r="H22" i="8"/>
  <c r="H68" i="8" s="1"/>
  <c r="G22" i="8"/>
  <c r="G68" i="8" s="1"/>
  <c r="F22" i="8"/>
  <c r="F68" i="8" s="1"/>
  <c r="E22" i="8"/>
  <c r="E68" i="8" s="1"/>
  <c r="AB21" i="8"/>
  <c r="J21" i="8"/>
  <c r="J69" i="8" s="1"/>
  <c r="I21" i="8"/>
  <c r="I69" i="8" s="1"/>
  <c r="H21" i="8"/>
  <c r="H69" i="8" s="1"/>
  <c r="G21" i="8"/>
  <c r="G69" i="8" s="1"/>
  <c r="F21" i="8"/>
  <c r="F69" i="8" s="1"/>
  <c r="E21" i="8"/>
  <c r="E69" i="8" s="1"/>
  <c r="AB20" i="8"/>
  <c r="J20" i="8"/>
  <c r="J70" i="8" s="1"/>
  <c r="I20" i="8"/>
  <c r="I70" i="8" s="1"/>
  <c r="H20" i="8"/>
  <c r="H70" i="8" s="1"/>
  <c r="G20" i="8"/>
  <c r="G70" i="8" s="1"/>
  <c r="F20" i="8"/>
  <c r="F70" i="8" s="1"/>
  <c r="E20" i="8"/>
  <c r="E70" i="8" s="1"/>
  <c r="AB19" i="8"/>
  <c r="AB18" i="8"/>
  <c r="J18" i="8"/>
  <c r="J62" i="8" s="1"/>
  <c r="I18" i="8"/>
  <c r="I62" i="8" s="1"/>
  <c r="H18" i="8"/>
  <c r="H62" i="8" s="1"/>
  <c r="G18" i="8"/>
  <c r="G62" i="8" s="1"/>
  <c r="F18" i="8"/>
  <c r="F62" i="8" s="1"/>
  <c r="E18" i="8"/>
  <c r="E62" i="8" s="1"/>
  <c r="AB17" i="8"/>
  <c r="J17" i="8"/>
  <c r="J63" i="8" s="1"/>
  <c r="I17" i="8"/>
  <c r="I63" i="8" s="1"/>
  <c r="H17" i="8"/>
  <c r="H63" i="8" s="1"/>
  <c r="G17" i="8"/>
  <c r="G63" i="8" s="1"/>
  <c r="F17" i="8"/>
  <c r="F63" i="8" s="1"/>
  <c r="E17" i="8"/>
  <c r="E63" i="8" s="1"/>
  <c r="AB16" i="8"/>
  <c r="J16" i="8"/>
  <c r="J64" i="8" s="1"/>
  <c r="I16" i="8"/>
  <c r="I64" i="8" s="1"/>
  <c r="H16" i="8"/>
  <c r="H64" i="8" s="1"/>
  <c r="G16" i="8"/>
  <c r="G64" i="8" s="1"/>
  <c r="F16" i="8"/>
  <c r="F64" i="8" s="1"/>
  <c r="E16" i="8"/>
  <c r="E64" i="8" s="1"/>
  <c r="J15" i="8"/>
  <c r="J65" i="8" s="1"/>
  <c r="I15" i="8"/>
  <c r="I65" i="8" s="1"/>
  <c r="H15" i="8"/>
  <c r="H65" i="8" s="1"/>
  <c r="G15" i="8"/>
  <c r="G65" i="8" s="1"/>
  <c r="F15" i="8"/>
  <c r="F65" i="8" s="1"/>
  <c r="E15" i="8"/>
  <c r="E65" i="8" s="1"/>
  <c r="AB13" i="8"/>
  <c r="J13" i="8"/>
  <c r="J57" i="8" s="1"/>
  <c r="I13" i="8"/>
  <c r="I57" i="8" s="1"/>
  <c r="H13" i="8"/>
  <c r="H57" i="8" s="1"/>
  <c r="G13" i="8"/>
  <c r="G57" i="8" s="1"/>
  <c r="F13" i="8"/>
  <c r="F57" i="8" s="1"/>
  <c r="E13" i="8"/>
  <c r="E57" i="8" s="1"/>
  <c r="AB12" i="8"/>
  <c r="J12" i="8"/>
  <c r="J58" i="8" s="1"/>
  <c r="I12" i="8"/>
  <c r="I58" i="8" s="1"/>
  <c r="H12" i="8"/>
  <c r="H58" i="8" s="1"/>
  <c r="G12" i="8"/>
  <c r="G58" i="8" s="1"/>
  <c r="F12" i="8"/>
  <c r="F58" i="8" s="1"/>
  <c r="E12" i="8"/>
  <c r="E58" i="8" s="1"/>
  <c r="Q29" i="8"/>
  <c r="D5" i="8" s="1"/>
  <c r="C6" i="8" s="1"/>
  <c r="J11" i="8"/>
  <c r="J59" i="8" s="1"/>
  <c r="I11" i="8"/>
  <c r="I59" i="8" s="1"/>
  <c r="H11" i="8"/>
  <c r="H59" i="8" s="1"/>
  <c r="G11" i="8"/>
  <c r="G59" i="8" s="1"/>
  <c r="F11" i="8"/>
  <c r="F59" i="8" s="1"/>
  <c r="E11" i="8"/>
  <c r="E59" i="8" s="1"/>
  <c r="J10" i="8"/>
  <c r="J60" i="8" s="1"/>
  <c r="I10" i="8"/>
  <c r="I60" i="8" s="1"/>
  <c r="H10" i="8"/>
  <c r="H60" i="8" s="1"/>
  <c r="G10" i="8"/>
  <c r="G60" i="8" s="1"/>
  <c r="F10" i="8"/>
  <c r="F60" i="8" s="1"/>
  <c r="E10" i="8"/>
  <c r="E60" i="8" s="1"/>
  <c r="D10" i="8"/>
  <c r="C11" i="8" s="1"/>
  <c r="J8" i="8"/>
  <c r="J52" i="8" s="1"/>
  <c r="I8" i="8"/>
  <c r="I52" i="8" s="1"/>
  <c r="H8" i="8"/>
  <c r="H52" i="8" s="1"/>
  <c r="G8" i="8"/>
  <c r="G52" i="8" s="1"/>
  <c r="F8" i="8"/>
  <c r="F52" i="8" s="1"/>
  <c r="E8" i="8"/>
  <c r="E52" i="8" s="1"/>
  <c r="J7" i="8"/>
  <c r="J53" i="8" s="1"/>
  <c r="I7" i="8"/>
  <c r="I53" i="8" s="1"/>
  <c r="H7" i="8"/>
  <c r="H53" i="8" s="1"/>
  <c r="G7" i="8"/>
  <c r="G53" i="8" s="1"/>
  <c r="F7" i="8"/>
  <c r="F53" i="8" s="1"/>
  <c r="E7" i="8"/>
  <c r="E53" i="8" s="1"/>
  <c r="D7" i="8"/>
  <c r="C8" i="8" s="1"/>
  <c r="J6" i="8"/>
  <c r="J54" i="8" s="1"/>
  <c r="I6" i="8"/>
  <c r="I54" i="8" s="1"/>
  <c r="H6" i="8"/>
  <c r="H54" i="8" s="1"/>
  <c r="G6" i="8"/>
  <c r="G54" i="8" s="1"/>
  <c r="F6" i="8"/>
  <c r="F54" i="8" s="1"/>
  <c r="E6" i="8"/>
  <c r="E54" i="8" s="1"/>
  <c r="J5" i="8"/>
  <c r="J55" i="8" s="1"/>
  <c r="I5" i="8"/>
  <c r="I55" i="8" s="1"/>
  <c r="H5" i="8"/>
  <c r="H55" i="8" s="1"/>
  <c r="G5" i="8"/>
  <c r="G55" i="8" s="1"/>
  <c r="F5" i="8"/>
  <c r="F55" i="8" s="1"/>
  <c r="E5" i="8"/>
  <c r="E55" i="8" s="1"/>
  <c r="D41" i="1"/>
  <c r="D40" i="1"/>
  <c r="D39" i="1"/>
  <c r="D38" i="1"/>
  <c r="D36" i="1"/>
  <c r="D35" i="1"/>
  <c r="D34" i="1"/>
  <c r="D33" i="1"/>
  <c r="D31" i="1"/>
  <c r="D30" i="1"/>
  <c r="D29" i="1"/>
  <c r="D28" i="1"/>
  <c r="D26" i="1"/>
  <c r="D25" i="1"/>
  <c r="D24" i="1"/>
  <c r="D23" i="1"/>
  <c r="D21" i="1"/>
  <c r="D20" i="1"/>
  <c r="D19" i="1"/>
  <c r="D18" i="1"/>
  <c r="D16" i="1"/>
  <c r="D15" i="1"/>
  <c r="D14" i="1"/>
  <c r="D13" i="1"/>
  <c r="D11" i="1"/>
  <c r="D10" i="1"/>
  <c r="D9" i="1"/>
  <c r="D8" i="1"/>
  <c r="D6" i="1"/>
  <c r="D5" i="1"/>
  <c r="D4" i="1"/>
  <c r="D3" i="1"/>
  <c r="J41" i="1"/>
  <c r="I41" i="1"/>
  <c r="H41" i="1"/>
  <c r="G41" i="1"/>
  <c r="F41" i="1"/>
  <c r="E41" i="1"/>
  <c r="J40" i="1"/>
  <c r="I40" i="1"/>
  <c r="H40" i="1"/>
  <c r="G40" i="1"/>
  <c r="F40" i="1"/>
  <c r="E40" i="1"/>
  <c r="J39" i="1"/>
  <c r="I39" i="1"/>
  <c r="H39" i="1"/>
  <c r="G39" i="1"/>
  <c r="F39" i="1"/>
  <c r="E39" i="1"/>
  <c r="J38" i="1"/>
  <c r="I38" i="1"/>
  <c r="H38" i="1"/>
  <c r="G38" i="1"/>
  <c r="F38" i="1"/>
  <c r="E38" i="1"/>
  <c r="J36" i="1"/>
  <c r="I36" i="1"/>
  <c r="H36" i="1"/>
  <c r="G36" i="1"/>
  <c r="F36" i="1"/>
  <c r="E36" i="1"/>
  <c r="J35" i="1"/>
  <c r="I35" i="1"/>
  <c r="H35" i="1"/>
  <c r="G35" i="1"/>
  <c r="F35" i="1"/>
  <c r="E35" i="1"/>
  <c r="J34" i="1"/>
  <c r="I34" i="1"/>
  <c r="H34" i="1"/>
  <c r="G34" i="1"/>
  <c r="F34" i="1"/>
  <c r="E34" i="1"/>
  <c r="J33" i="1"/>
  <c r="I33" i="1"/>
  <c r="H33" i="1"/>
  <c r="G33" i="1"/>
  <c r="F33" i="1"/>
  <c r="E33" i="1"/>
  <c r="J31" i="1"/>
  <c r="I31" i="1"/>
  <c r="H31" i="1"/>
  <c r="G31" i="1"/>
  <c r="F31" i="1"/>
  <c r="E31" i="1"/>
  <c r="J30" i="1"/>
  <c r="I30" i="1"/>
  <c r="H30" i="1"/>
  <c r="G30" i="1"/>
  <c r="F30" i="1"/>
  <c r="E30" i="1"/>
  <c r="J29" i="1"/>
  <c r="I29" i="1"/>
  <c r="H29" i="1"/>
  <c r="G29" i="1"/>
  <c r="F29" i="1"/>
  <c r="E29" i="1"/>
  <c r="J28" i="1"/>
  <c r="I28" i="1"/>
  <c r="H28" i="1"/>
  <c r="G28" i="1"/>
  <c r="F28" i="1"/>
  <c r="E28" i="1"/>
  <c r="E3" i="1"/>
  <c r="E4" i="1"/>
  <c r="E5" i="1"/>
  <c r="E6" i="1"/>
  <c r="C41" i="8" l="1"/>
  <c r="C43" i="8"/>
  <c r="D16" i="8"/>
  <c r="C17" i="8" s="1"/>
  <c r="D31" i="8"/>
  <c r="C32" i="8" s="1"/>
  <c r="D35" i="8"/>
  <c r="C36" i="8" s="1"/>
  <c r="D30" i="8"/>
  <c r="C31" i="8" s="1"/>
  <c r="D13" i="8"/>
  <c r="D12" i="8"/>
  <c r="C13" i="8" s="1"/>
  <c r="D22" i="8"/>
  <c r="C23" i="8" s="1"/>
  <c r="D37" i="8"/>
  <c r="C38" i="8" s="1"/>
  <c r="D36" i="8"/>
  <c r="C37" i="8" s="1"/>
  <c r="D15" i="8"/>
  <c r="C16" i="8" s="1"/>
  <c r="D21" i="8"/>
  <c r="C22" i="8" s="1"/>
  <c r="D41" i="8"/>
  <c r="D43" i="8"/>
  <c r="D28" i="8"/>
  <c r="D17" i="8"/>
  <c r="C18" i="8" s="1"/>
  <c r="D27" i="8"/>
  <c r="C28" i="8" s="1"/>
  <c r="J26" i="1"/>
  <c r="J25" i="1"/>
  <c r="J24" i="1"/>
  <c r="J23" i="1"/>
  <c r="I26" i="1"/>
  <c r="I25" i="1"/>
  <c r="I24" i="1"/>
  <c r="I23" i="1"/>
  <c r="H26" i="1"/>
  <c r="H25" i="1"/>
  <c r="H24" i="1"/>
  <c r="H23" i="1"/>
  <c r="G26" i="1"/>
  <c r="G25" i="1"/>
  <c r="G24" i="1"/>
  <c r="G23" i="1"/>
  <c r="F26" i="1"/>
  <c r="F25" i="1"/>
  <c r="F24" i="1"/>
  <c r="F23" i="1"/>
  <c r="E26" i="1"/>
  <c r="E25" i="1"/>
  <c r="E24" i="1"/>
  <c r="E23" i="1"/>
  <c r="J21" i="1"/>
  <c r="J20" i="1"/>
  <c r="J19" i="1"/>
  <c r="J18" i="1"/>
  <c r="I21" i="1"/>
  <c r="I20" i="1"/>
  <c r="I19" i="1"/>
  <c r="I18" i="1"/>
  <c r="H21" i="1"/>
  <c r="H20" i="1"/>
  <c r="H19" i="1"/>
  <c r="H18" i="1"/>
  <c r="G21" i="1"/>
  <c r="G20" i="1"/>
  <c r="G19" i="1"/>
  <c r="G18" i="1"/>
  <c r="F21" i="1"/>
  <c r="F20" i="1"/>
  <c r="F19" i="1"/>
  <c r="F18" i="1"/>
  <c r="E21" i="1"/>
  <c r="E20" i="1"/>
  <c r="E19" i="1"/>
  <c r="E18" i="1"/>
  <c r="J16" i="1"/>
  <c r="J15" i="1"/>
  <c r="J14" i="1"/>
  <c r="J13" i="1"/>
  <c r="I16" i="1"/>
  <c r="I15" i="1"/>
  <c r="I14" i="1"/>
  <c r="I13" i="1"/>
  <c r="J11" i="1"/>
  <c r="J10" i="1"/>
  <c r="J9" i="1"/>
  <c r="J8" i="1"/>
  <c r="I11" i="1"/>
  <c r="I10" i="1"/>
  <c r="I9" i="1"/>
  <c r="I8" i="1"/>
  <c r="H16" i="1"/>
  <c r="H15" i="1"/>
  <c r="H14" i="1"/>
  <c r="H13" i="1"/>
  <c r="G16" i="1"/>
  <c r="G15" i="1"/>
  <c r="G14" i="1"/>
  <c r="G13" i="1"/>
  <c r="F16" i="1"/>
  <c r="F15" i="1"/>
  <c r="F14" i="1"/>
  <c r="F13" i="1"/>
  <c r="E16" i="1"/>
  <c r="E15" i="1"/>
  <c r="E14" i="1"/>
  <c r="E13" i="1"/>
  <c r="H8" i="1"/>
  <c r="G8" i="1"/>
  <c r="F8" i="1"/>
  <c r="E11" i="1"/>
  <c r="E10" i="1"/>
  <c r="E9" i="1"/>
  <c r="E8" i="1"/>
  <c r="J6" i="1"/>
  <c r="J5" i="1"/>
  <c r="J4" i="1"/>
  <c r="J3" i="1"/>
  <c r="I6" i="1"/>
  <c r="I5" i="1"/>
  <c r="I4" i="1"/>
  <c r="I3" i="1"/>
  <c r="H6" i="1"/>
  <c r="H5" i="1"/>
  <c r="H4" i="1"/>
  <c r="H3" i="1"/>
  <c r="G6" i="1"/>
  <c r="G5" i="1"/>
  <c r="G4" i="1"/>
  <c r="G3" i="1"/>
  <c r="F6" i="1"/>
  <c r="F5" i="1"/>
  <c r="F4" i="1"/>
  <c r="F3" i="1"/>
  <c r="R27" i="1"/>
  <c r="S27" i="1"/>
  <c r="T27" i="1"/>
  <c r="R28" i="1"/>
  <c r="S28" i="1"/>
  <c r="T28" i="1"/>
  <c r="R29" i="1"/>
  <c r="S29" i="1"/>
  <c r="T29" i="1"/>
  <c r="R30" i="1"/>
  <c r="S30" i="1"/>
  <c r="T30" i="1"/>
  <c r="R31" i="1"/>
  <c r="S31" i="1"/>
  <c r="T31" i="1"/>
  <c r="R32" i="1"/>
  <c r="S32" i="1"/>
  <c r="T32" i="1"/>
  <c r="R33" i="1"/>
  <c r="S33" i="1"/>
  <c r="T33" i="1"/>
  <c r="R34" i="1"/>
  <c r="S34" i="1"/>
  <c r="T34" i="1"/>
  <c r="R35" i="1"/>
  <c r="S35" i="1"/>
  <c r="T35" i="1"/>
  <c r="R36" i="1"/>
  <c r="S36" i="1"/>
  <c r="T36" i="1"/>
  <c r="R37" i="1"/>
  <c r="S37" i="1"/>
  <c r="T37" i="1"/>
  <c r="R38" i="1"/>
  <c r="S38" i="1"/>
  <c r="T38" i="1"/>
  <c r="R39" i="1"/>
  <c r="S39" i="1"/>
  <c r="T39" i="1"/>
  <c r="R40" i="1"/>
  <c r="S40" i="1"/>
  <c r="T40" i="1"/>
  <c r="Q28" i="1"/>
  <c r="Q29" i="1"/>
  <c r="Q30" i="1"/>
  <c r="Q31" i="1"/>
  <c r="Q32" i="1"/>
  <c r="Q33" i="1"/>
  <c r="Q34" i="1"/>
  <c r="Q35" i="1"/>
  <c r="Q36" i="1"/>
  <c r="Q37" i="1"/>
  <c r="Q38" i="1"/>
  <c r="Q39" i="1"/>
  <c r="Q40" i="1"/>
  <c r="Q27" i="1"/>
  <c r="Q9" i="1"/>
  <c r="C42" i="8" l="1"/>
  <c r="C25" i="1"/>
  <c r="C24" i="1"/>
  <c r="C23" i="1"/>
  <c r="C21" i="1"/>
  <c r="C20" i="1"/>
  <c r="C19" i="1"/>
  <c r="C16" i="1"/>
  <c r="C15" i="1"/>
  <c r="C26" i="1"/>
  <c r="C29" i="1"/>
  <c r="C30" i="1"/>
  <c r="C31" i="1"/>
  <c r="C34" i="1"/>
  <c r="C35" i="1"/>
  <c r="C36" i="1"/>
  <c r="C39" i="1"/>
  <c r="C40" i="1"/>
  <c r="C41" i="1"/>
  <c r="C14" i="1"/>
  <c r="C10" i="1"/>
  <c r="C11" i="1"/>
  <c r="C9" i="1"/>
  <c r="C6" i="1"/>
  <c r="C5" i="1"/>
  <c r="C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tc={014BC00B-9567-45B8-B9CF-AE17CEA59239}</author>
    <author>tc={1CFFB526-7BEA-4B39-ACA6-9BAF4D2119DD}</author>
    <author>tc={1D3BDAAF-7D55-497F-80E1-26BF519289B3}</author>
  </authors>
  <commentList>
    <comment ref="D3" authorId="0" shapeId="0" xr:uid="{014BC00B-9567-45B8-B9CF-AE17CEA59239}">
      <text>
        <t>[Threaded comment]
Your version of Excel allows you to read this threaded comment; however, any edits to it will get removed if the file is opened in a newer version of Excel. Learn more: https://go.microsoft.com/fwlink/?linkid=870924
Comment:
    Pls automate to FPL chart.</t>
      </text>
    </comment>
    <comment ref="M4" authorId="1" shapeId="0" xr:uid="{1CFFB526-7BEA-4B39-ACA6-9BAF4D2119DD}">
      <text>
        <t>[Threaded comment]
Your version of Excel allows you to read this threaded comment; however, any edits to it will get removed if the file is opened in a newer version of Excel. Learn more: https://go.microsoft.com/fwlink/?linkid=870924
Comment:
    Write a simple, short narrative to define point system.</t>
      </text>
    </comment>
    <comment ref="Q9" authorId="2" shapeId="0" xr:uid="{1D3BDAAF-7D55-497F-80E1-26BF519289B3}">
      <text>
        <t>[Threaded comment]
Your version of Excel allows you to read this threaded comment; however, any edits to it will get removed if the file is opened in a newer version of Excel. Learn more: https://go.microsoft.com/fwlink/?linkid=870924
Comment:
    Can you put a formula in here so we can adjust the amounts next year?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tc={418C3B40-FFBE-42CA-A6A0-9D4DBD15D7CE}</author>
    <author>tc={953ACFCC-ABC5-435F-8068-3FBA8EDAB051}</author>
  </authors>
  <commentList>
    <comment ref="R11" authorId="0" shapeId="0" xr:uid="{418C3B40-FFBE-42CA-A6A0-9D4DBD15D7CE}">
      <text>
        <t>[Threaded comment]
Your version of Excel allows you to read this threaded comment; however, any edits to it will get removed if the file is opened in a newer version of Excel. Learn more: https://go.microsoft.com/fwlink/?linkid=870924
Comment:
    Can a formula be put in this column to match the chart on the left side of the page?</t>
      </text>
    </comment>
    <comment ref="Q28" authorId="1" shapeId="0" xr:uid="{953ACFCC-ABC5-435F-8068-3FBA8EDAB051}">
      <text>
        <t>[Threaded comment]
Your version of Excel allows you to read this threaded comment; however, any edits to it will get removed if the file is opened in a newer version of Excel. Learn more: https://go.microsoft.com/fwlink/?linkid=870924
Comment:
    Please add percentages.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tc={A9F418E6-D9EB-44E9-B3FF-6805FE53CE87}</author>
    <author>tc={89FCB491-DEFA-48CC-8252-1469A2D106B5}</author>
  </authors>
  <commentList>
    <comment ref="R11" authorId="0" shapeId="0" xr:uid="{A9F418E6-D9EB-44E9-B3FF-6805FE53CE87}">
      <text>
        <t>[Threaded comment]
Your version of Excel allows you to read this threaded comment; however, any edits to it will get removed if the file is opened in a newer version of Excel. Learn more: https://go.microsoft.com/fwlink/?linkid=870924
Comment:
    Can a formula be put in this column to match the chart on the left side of the page?</t>
      </text>
    </comment>
    <comment ref="Q28" authorId="1" shapeId="0" xr:uid="{89FCB491-DEFA-48CC-8252-1469A2D106B5}">
      <text>
        <t>[Threaded comment]
Your version of Excel allows you to read this threaded comment; however, any edits to it will get removed if the file is opened in a newer version of Excel. Learn more: https://go.microsoft.com/fwlink/?linkid=870924
Comment:
    Please add percentages.</t>
      </text>
    </comment>
  </commentList>
</comments>
</file>

<file path=xl/sharedStrings.xml><?xml version="1.0" encoding="utf-8"?>
<sst xmlns="http://schemas.openxmlformats.org/spreadsheetml/2006/main" count="335" uniqueCount="61">
  <si>
    <t>Subsidy Non-subsided housing</t>
  </si>
  <si>
    <t>Heating</t>
  </si>
  <si>
    <t>Cooling</t>
  </si>
  <si>
    <t># of People in HH</t>
  </si>
  <si>
    <t>Income Range</t>
  </si>
  <si>
    <t>Electricity</t>
  </si>
  <si>
    <t>Natural Gas</t>
  </si>
  <si>
    <t>Propane</t>
  </si>
  <si>
    <t>Coal</t>
  </si>
  <si>
    <t>Wood</t>
  </si>
  <si>
    <t>Fuel Oil</t>
  </si>
  <si>
    <t>Electric</t>
  </si>
  <si>
    <t>max benefit</t>
  </si>
  <si>
    <t>0-75%</t>
  </si>
  <si>
    <t>76-100%</t>
  </si>
  <si>
    <t>101-125%</t>
  </si>
  <si>
    <t>126-150%</t>
  </si>
  <si>
    <t>Household/
Family Size</t>
  </si>
  <si>
    <t>5 and above.</t>
  </si>
  <si>
    <t>Adjusted POP</t>
  </si>
  <si>
    <t>LIHEAP Benefit Matrix 2024-2025</t>
  </si>
  <si>
    <t>1 pt= 16.66 (roundup)</t>
  </si>
  <si>
    <t xml:space="preserve"> </t>
  </si>
  <si>
    <t>Household/</t>
  </si>
  <si>
    <t>Family Size</t>
  </si>
  <si>
    <t>5 and above</t>
  </si>
  <si>
    <t>Subsidized Housing</t>
  </si>
  <si>
    <t>HH served Subsidy FFY 23</t>
  </si>
  <si>
    <t>inc range</t>
  </si>
  <si>
    <t>%of hh svd</t>
  </si>
  <si>
    <t>Points</t>
  </si>
  <si>
    <t>Fuel Cost</t>
  </si>
  <si>
    <t>HH served Subsidy FFY 24</t>
  </si>
  <si>
    <t>0-75</t>
  </si>
  <si>
    <t>Target</t>
  </si>
  <si>
    <t>FFY25</t>
  </si>
  <si>
    <t>76-100</t>
  </si>
  <si>
    <t>101-125</t>
  </si>
  <si>
    <t>125-150</t>
  </si>
  <si>
    <t>Fuel Oil/Kerosene</t>
  </si>
  <si>
    <t># of people in HH</t>
  </si>
  <si>
    <t>factor</t>
  </si>
  <si>
    <t>income</t>
  </si>
  <si>
    <t>fuel</t>
  </si>
  <si>
    <t>max 150</t>
  </si>
  <si>
    <t>6 and above</t>
  </si>
  <si>
    <t>7 and above</t>
  </si>
  <si>
    <t xml:space="preserve">Below is information used to determine fuel cost from highest to lowest to determine points. </t>
  </si>
  <si>
    <t>For Natural gas: $0.00049836/sq ft/hour * 1000 sq ft * 24 hours = $11.96 per day</t>
  </si>
  <si>
    <t>For Propane: $0.0011716/sq ft/hour * 1000 sq ft * 24 hours = $28.12 per day</t>
  </si>
  <si>
    <t>For Heating oil: $0.0009662/sq ft/hour * 1000 sq ft * 24 hours = $23.19 per day</t>
  </si>
  <si>
    <t>For Electric heating: $0.0015463/sq ft/hour * 1000 sq ft * 24 hours = $37.11 per day</t>
  </si>
  <si>
    <t>So, the cost to heat a 1000 sq ft home for a day would be $11.96 with natural gas, $28.12 with propane, $23.19 with heating oil, and $37.11 with electric heating</t>
  </si>
  <si>
    <t>75.01%-100%</t>
  </si>
  <si>
    <t>101.01-125%</t>
  </si>
  <si>
    <t>126.01-150%</t>
  </si>
  <si>
    <t>For HH over 8</t>
  </si>
  <si>
    <t>Monthly income limit</t>
  </si>
  <si>
    <t>max add</t>
  </si>
  <si>
    <t>1 pt=  33.33 (roundup)</t>
  </si>
  <si>
    <t>LIHEAP Benefit Matrix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</si>
</sst>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10409]General"/>
  </numFmts>
  <fonts count="11" x14ac:knownFonts="1">
    <font>
      <sz val="11"/>
      <color theme="1"/>
      <name val="Calibri"/>
      <family val="2"/>
      <scheme val="minor"/>
    </font>
    <font>
      <sz val="9"/>
      <color theme="1"/>
      <name val="Calibri"/>
      <family val="2"/>
      <scheme val="minor"/>
    </font>
    <font>
      <sz val="8"/>
      <name val="Calibri"/>
      <family val="2"/>
      <scheme val="minor"/>
    </font>
    <font>
      <b/>
      <sz val="8"/>
      <name val="Calibri"/>
      <family val="2"/>
      <scheme val="minor"/>
    </font>
    <font>
      <sz val="18"/>
      <color theme="1"/>
      <name val="Calibri"/>
      <family val="2"/>
      <scheme val="minor"/>
    </font>
    <font>
      <sz val="11"/>
      <color rgb="FFFF0000"/>
      <name val="Calibri"/>
      <family val="2"/>
      <scheme val="minor"/>
    </font>
    <font>
      <sz val="12"/>
      <color rgb="FF323130"/>
      <name val="Segoe UI"/>
      <family val="2"/>
    </font>
    <font>
      <sz val="9"/>
      <color rgb="FF323130"/>
      <name val="Segoe UI"/>
      <family val="2"/>
    </font>
    <font>
      <sz val="12"/>
      <color theme="1"/>
      <name val="Calibri"/>
      <family val="2"/>
      <scheme val="minor"/>
    </font>
    <font>
      <sz val="14"/>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FFFF"/>
        <bgColor rgb="FF000000"/>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43">
    <xf numFmtId="0" fontId="0" fillId="0" borderId="0" xfId="0"/>
    <xf numFmtId="0" fontId="1" fillId="0" borderId="0" xfId="0" applyFont="1" applyAlignment="1">
      <alignment horizontal="center"/>
    </xf>
    <xf numFmtId="0" fontId="1" fillId="0" borderId="0" xfId="0" applyFont="1"/>
    <xf numFmtId="10" fontId="1" fillId="0" borderId="0" xfId="0" applyNumberFormat="1" applyFont="1"/>
    <xf numFmtId="2" fontId="1" fillId="0" borderId="0" xfId="0" applyNumberFormat="1" applyFont="1"/>
    <xf numFmtId="0" fontId="3" fillId="0" borderId="0" xfId="0" applyFont="1" applyAlignment="1">
      <alignment horizontal="center"/>
    </xf>
    <xf numFmtId="0" fontId="3" fillId="0" borderId="0" xfId="0" applyFont="1" applyAlignment="1">
      <alignment horizontal="center" vertical="center" wrapText="1"/>
    </xf>
    <xf numFmtId="10" fontId="1" fillId="0" borderId="0" xfId="0" applyNumberFormat="1" applyFont="1" applyAlignment="1">
      <alignment horizontal="center" vertical="center"/>
    </xf>
    <xf numFmtId="0" fontId="1" fillId="2" borderId="0" xfId="0" applyFont="1" applyFill="1" applyAlignment="1">
      <alignment horizontal="center" wrapText="1"/>
    </xf>
    <xf numFmtId="0" fontId="1" fillId="2" borderId="0" xfId="0" applyFont="1" applyFill="1" applyAlignment="1">
      <alignment horizontal="center"/>
    </xf>
    <xf numFmtId="0" fontId="1" fillId="0" borderId="2" xfId="0" applyFont="1" applyBorder="1"/>
    <xf numFmtId="0" fontId="1" fillId="0" borderId="7" xfId="0" applyFont="1" applyBorder="1"/>
    <xf numFmtId="1" fontId="1" fillId="0" borderId="0" xfId="0" applyNumberFormat="1" applyFont="1" applyAlignment="1">
      <alignment horizontal="center"/>
    </xf>
    <xf numFmtId="1" fontId="1" fillId="0" borderId="1" xfId="0" applyNumberFormat="1" applyFont="1" applyBorder="1" applyAlignment="1">
      <alignment horizontal="center"/>
    </xf>
    <xf numFmtId="1" fontId="1" fillId="0" borderId="4" xfId="0" applyNumberFormat="1" applyFont="1" applyBorder="1" applyAlignment="1">
      <alignment horizontal="center"/>
    </xf>
    <xf numFmtId="1" fontId="1" fillId="0" borderId="6" xfId="0" applyNumberFormat="1" applyFont="1" applyBorder="1" applyAlignment="1">
      <alignment horizontal="center"/>
    </xf>
    <xf numFmtId="0" fontId="1" fillId="0" borderId="10" xfId="0" applyFont="1" applyBorder="1"/>
    <xf numFmtId="0" fontId="1" fillId="0" borderId="11" xfId="0" applyFont="1" applyBorder="1"/>
    <xf numFmtId="0" fontId="1" fillId="0" borderId="9" xfId="0" applyFont="1" applyBorder="1"/>
    <xf numFmtId="0" fontId="1" fillId="3" borderId="0" xfId="0" applyFont="1" applyFill="1" applyAlignment="1">
      <alignment horizontal="center"/>
    </xf>
    <xf numFmtId="0" fontId="0" fillId="0" borderId="1" xfId="0" applyBorder="1"/>
    <xf numFmtId="164" fontId="0" fillId="0" borderId="4" xfId="0" applyNumberFormat="1" applyBorder="1"/>
    <xf numFmtId="0" fontId="0" fillId="0" borderId="6" xfId="0" applyBorder="1"/>
    <xf numFmtId="0" fontId="0" fillId="0" borderId="9" xfId="0" applyBorder="1"/>
    <xf numFmtId="0" fontId="0" fillId="0" borderId="10" xfId="0" applyBorder="1"/>
    <xf numFmtId="0" fontId="0" fillId="0" borderId="11" xfId="0" applyBorder="1"/>
    <xf numFmtId="0" fontId="0" fillId="0" borderId="0" xfId="0" applyAlignment="1">
      <alignment wrapText="1"/>
    </xf>
    <xf numFmtId="0" fontId="1" fillId="0" borderId="9" xfId="0" applyFont="1" applyBorder="1" applyAlignment="1">
      <alignment horizontal="right"/>
    </xf>
    <xf numFmtId="0" fontId="1" fillId="0" borderId="3" xfId="0" applyFont="1" applyBorder="1" applyAlignment="1">
      <alignment horizontal="right"/>
    </xf>
    <xf numFmtId="0" fontId="1" fillId="0" borderId="10" xfId="0" applyFont="1" applyBorder="1" applyAlignment="1">
      <alignment horizontal="right"/>
    </xf>
    <xf numFmtId="0" fontId="1" fillId="0" borderId="5" xfId="0" applyFont="1" applyBorder="1" applyAlignment="1">
      <alignment horizontal="right"/>
    </xf>
    <xf numFmtId="0" fontId="1" fillId="0" borderId="11" xfId="0" applyFont="1" applyBorder="1" applyAlignment="1">
      <alignment horizontal="right"/>
    </xf>
    <xf numFmtId="0" fontId="1" fillId="0" borderId="8" xfId="0" applyFont="1" applyBorder="1" applyAlignment="1">
      <alignment horizontal="right"/>
    </xf>
    <xf numFmtId="0" fontId="1" fillId="0" borderId="0" xfId="0" applyFont="1" applyAlignment="1">
      <alignment horizontal="right"/>
    </xf>
    <xf numFmtId="49" fontId="0" fillId="0" borderId="0" xfId="0" applyNumberFormat="1"/>
    <xf numFmtId="0" fontId="0" fillId="0" borderId="1" xfId="0" applyBorder="1" applyAlignment="1">
      <alignment wrapText="1"/>
    </xf>
    <xf numFmtId="0" fontId="0" fillId="0" borderId="3" xfId="0" applyBorder="1" applyAlignment="1">
      <alignment wrapText="1"/>
    </xf>
    <xf numFmtId="0" fontId="0" fillId="0" borderId="5" xfId="0" applyBorder="1"/>
    <xf numFmtId="0" fontId="0" fillId="0" borderId="4" xfId="0" applyBorder="1"/>
    <xf numFmtId="0" fontId="0" fillId="0" borderId="8" xfId="0" applyBorder="1"/>
    <xf numFmtId="164" fontId="0" fillId="0" borderId="0" xfId="0" applyNumberFormat="1"/>
    <xf numFmtId="10" fontId="0" fillId="0" borderId="0" xfId="0" applyNumberFormat="1"/>
    <xf numFmtId="0" fontId="5" fillId="0" borderId="0" xfId="0" applyFont="1" applyAlignment="1">
      <alignment wrapText="1"/>
    </xf>
    <xf numFmtId="0" fontId="5" fillId="0" borderId="1" xfId="0" applyFont="1" applyBorder="1" applyAlignment="1">
      <alignment wrapText="1"/>
    </xf>
    <xf numFmtId="0" fontId="5" fillId="0" borderId="3" xfId="0" applyFont="1" applyBorder="1" applyAlignment="1">
      <alignment wrapText="1"/>
    </xf>
    <xf numFmtId="0" fontId="5" fillId="0" borderId="4" xfId="0" applyFont="1" applyBorder="1"/>
    <xf numFmtId="0" fontId="5" fillId="0" borderId="5" xfId="0" applyFont="1" applyBorder="1"/>
    <xf numFmtId="0" fontId="5" fillId="0" borderId="6" xfId="0" applyFont="1" applyBorder="1"/>
    <xf numFmtId="0" fontId="5" fillId="0" borderId="8" xfId="0" applyFont="1" applyBorder="1"/>
    <xf numFmtId="0" fontId="5" fillId="0" borderId="10" xfId="0" applyFont="1" applyBorder="1"/>
    <xf numFmtId="0" fontId="5" fillId="0" borderId="11" xfId="0" applyFont="1" applyBorder="1"/>
    <xf numFmtId="0" fontId="1" fillId="0" borderId="12" xfId="0" applyFont="1" applyBorder="1"/>
    <xf numFmtId="0" fontId="1" fillId="4" borderId="0" xfId="0" applyFont="1" applyFill="1"/>
    <xf numFmtId="1" fontId="2" fillId="4" borderId="3" xfId="0" applyNumberFormat="1" applyFont="1" applyFill="1" applyBorder="1" applyAlignment="1">
      <alignment horizontal="center"/>
    </xf>
    <xf numFmtId="1" fontId="2" fillId="4" borderId="5" xfId="0" applyNumberFormat="1" applyFont="1" applyFill="1" applyBorder="1" applyAlignment="1">
      <alignment horizontal="center"/>
    </xf>
    <xf numFmtId="1" fontId="1" fillId="4" borderId="5" xfId="0" applyNumberFormat="1" applyFont="1" applyFill="1" applyBorder="1" applyAlignment="1">
      <alignment horizontal="center"/>
    </xf>
    <xf numFmtId="1" fontId="1" fillId="4" borderId="8" xfId="0" applyNumberFormat="1" applyFont="1" applyFill="1" applyBorder="1" applyAlignment="1">
      <alignment horizontal="center"/>
    </xf>
    <xf numFmtId="1" fontId="1" fillId="4" borderId="0" xfId="0" applyNumberFormat="1" applyFont="1" applyFill="1" applyAlignment="1">
      <alignment horizontal="center"/>
    </xf>
    <xf numFmtId="1" fontId="1" fillId="4" borderId="3" xfId="0" applyNumberFormat="1" applyFont="1" applyFill="1" applyBorder="1" applyAlignment="1">
      <alignment horizontal="center"/>
    </xf>
    <xf numFmtId="9" fontId="1" fillId="4" borderId="0" xfId="0" applyNumberFormat="1" applyFont="1" applyFill="1"/>
    <xf numFmtId="0" fontId="1" fillId="2" borderId="13" xfId="0" applyFont="1" applyFill="1" applyBorder="1" applyAlignment="1">
      <alignment horizontal="center" wrapText="1"/>
    </xf>
    <xf numFmtId="0" fontId="1" fillId="2" borderId="13" xfId="0" applyFont="1" applyFill="1" applyBorder="1" applyAlignment="1">
      <alignment horizontal="center"/>
    </xf>
    <xf numFmtId="0" fontId="1" fillId="3" borderId="13" xfId="0" applyFont="1" applyFill="1" applyBorder="1" applyAlignment="1">
      <alignment horizontal="center"/>
    </xf>
    <xf numFmtId="0" fontId="1" fillId="0" borderId="15" xfId="0" applyFont="1" applyBorder="1"/>
    <xf numFmtId="0" fontId="1" fillId="0" borderId="18" xfId="0" applyFont="1" applyBorder="1"/>
    <xf numFmtId="0" fontId="1" fillId="0" borderId="19" xfId="0" applyFont="1" applyBorder="1" applyAlignment="1">
      <alignment horizontal="center"/>
    </xf>
    <xf numFmtId="0" fontId="1" fillId="0" borderId="19" xfId="0" applyFont="1" applyBorder="1"/>
    <xf numFmtId="1" fontId="1" fillId="0" borderId="19" xfId="0" applyNumberFormat="1" applyFont="1" applyBorder="1" applyAlignment="1">
      <alignment horizontal="center"/>
    </xf>
    <xf numFmtId="0" fontId="1" fillId="0" borderId="20" xfId="0" applyFont="1" applyBorder="1" applyAlignment="1">
      <alignment horizontal="center"/>
    </xf>
    <xf numFmtId="0" fontId="9" fillId="0" borderId="20" xfId="0" applyFont="1" applyBorder="1" applyAlignment="1">
      <alignment horizontal="center"/>
    </xf>
    <xf numFmtId="0" fontId="10" fillId="0" borderId="12" xfId="0" applyFont="1" applyBorder="1"/>
    <xf numFmtId="0" fontId="8" fillId="0" borderId="0" xfId="0" applyFont="1"/>
    <xf numFmtId="0" fontId="4" fillId="0" borderId="0" xfId="0" applyFont="1" applyAlignment="1">
      <alignment horizontal="center" vertical="center"/>
    </xf>
    <xf numFmtId="1" fontId="2" fillId="0" borderId="0" xfId="0" applyNumberFormat="1" applyFont="1" applyAlignment="1">
      <alignment horizontal="center"/>
    </xf>
    <xf numFmtId="0" fontId="1" fillId="0" borderId="25" xfId="0" applyFont="1" applyBorder="1"/>
    <xf numFmtId="0" fontId="1" fillId="0" borderId="26" xfId="0" applyFont="1" applyBorder="1"/>
    <xf numFmtId="0" fontId="1" fillId="0" borderId="27" xfId="0" applyFont="1" applyBorder="1"/>
    <xf numFmtId="1" fontId="1" fillId="0" borderId="25" xfId="0" applyNumberFormat="1" applyFont="1" applyBorder="1" applyAlignment="1">
      <alignment horizontal="center"/>
    </xf>
    <xf numFmtId="1" fontId="1" fillId="0" borderId="26" xfId="0" applyNumberFormat="1" applyFont="1" applyBorder="1" applyAlignment="1">
      <alignment horizontal="center"/>
    </xf>
    <xf numFmtId="1" fontId="1" fillId="0" borderId="27" xfId="0" applyNumberFormat="1" applyFont="1" applyBorder="1" applyAlignment="1">
      <alignment horizontal="center"/>
    </xf>
    <xf numFmtId="1" fontId="2" fillId="0" borderId="25" xfId="0" applyNumberFormat="1" applyFont="1" applyBorder="1" applyAlignment="1">
      <alignment horizontal="center"/>
    </xf>
    <xf numFmtId="1" fontId="2" fillId="0" borderId="26" xfId="0" applyNumberFormat="1" applyFont="1" applyBorder="1" applyAlignment="1">
      <alignment horizontal="center"/>
    </xf>
    <xf numFmtId="1" fontId="2" fillId="0" borderId="27" xfId="0" applyNumberFormat="1"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1" fillId="0" borderId="30" xfId="0" applyFont="1" applyBorder="1" applyAlignment="1">
      <alignment horizontal="center"/>
    </xf>
    <xf numFmtId="0" fontId="3" fillId="0" borderId="0" xfId="0" applyFont="1" applyAlignment="1">
      <alignment horizontal="left" wrapText="1"/>
    </xf>
    <xf numFmtId="0" fontId="2" fillId="0" borderId="0" xfId="0" applyFont="1"/>
    <xf numFmtId="4" fontId="2" fillId="5" borderId="0" xfId="0" applyNumberFormat="1" applyFont="1" applyFill="1"/>
    <xf numFmtId="4" fontId="2" fillId="0" borderId="0" xfId="0" applyNumberFormat="1" applyFont="1"/>
    <xf numFmtId="4" fontId="2" fillId="0" borderId="20" xfId="0" applyNumberFormat="1" applyFont="1" applyBorder="1"/>
    <xf numFmtId="4" fontId="2" fillId="5" borderId="20" xfId="0" applyNumberFormat="1" applyFont="1" applyFill="1" applyBorder="1"/>
    <xf numFmtId="4" fontId="2" fillId="4" borderId="0" xfId="0" applyNumberFormat="1" applyFont="1" applyFill="1"/>
    <xf numFmtId="2" fontId="1" fillId="0" borderId="20" xfId="0" applyNumberFormat="1" applyFont="1" applyBorder="1" applyAlignment="1">
      <alignment horizontal="center"/>
    </xf>
    <xf numFmtId="2" fontId="1" fillId="0" borderId="25" xfId="0" applyNumberFormat="1" applyFont="1" applyBorder="1" applyAlignment="1">
      <alignment horizontal="center"/>
    </xf>
    <xf numFmtId="2" fontId="1" fillId="0" borderId="26" xfId="0" applyNumberFormat="1" applyFont="1" applyBorder="1" applyAlignment="1">
      <alignment horizontal="center"/>
    </xf>
    <xf numFmtId="2" fontId="1" fillId="0" borderId="27" xfId="0" applyNumberFormat="1" applyFont="1" applyBorder="1" applyAlignment="1">
      <alignment horizontal="center"/>
    </xf>
    <xf numFmtId="2" fontId="1" fillId="0" borderId="19" xfId="0" applyNumberFormat="1" applyFont="1" applyBorder="1" applyAlignment="1">
      <alignment horizontal="center"/>
    </xf>
    <xf numFmtId="2" fontId="1" fillId="0" borderId="0" xfId="0" applyNumberFormat="1" applyFont="1" applyAlignment="1">
      <alignment horizontal="center"/>
    </xf>
    <xf numFmtId="2" fontId="1" fillId="0" borderId="28" xfId="0" applyNumberFormat="1" applyFont="1" applyBorder="1" applyAlignment="1">
      <alignment horizontal="center"/>
    </xf>
    <xf numFmtId="2" fontId="1" fillId="0" borderId="29" xfId="0" applyNumberFormat="1" applyFont="1" applyBorder="1" applyAlignment="1">
      <alignment horizontal="center"/>
    </xf>
    <xf numFmtId="2" fontId="1" fillId="0" borderId="30" xfId="0" applyNumberFormat="1" applyFont="1" applyBorder="1" applyAlignment="1">
      <alignment horizontal="center"/>
    </xf>
    <xf numFmtId="2" fontId="1" fillId="0" borderId="15" xfId="0" applyNumberFormat="1" applyFont="1" applyBorder="1" applyAlignment="1">
      <alignment horizontal="center"/>
    </xf>
    <xf numFmtId="2" fontId="1" fillId="0" borderId="12" xfId="0" applyNumberFormat="1" applyFont="1" applyBorder="1" applyAlignment="1">
      <alignment horizontal="center"/>
    </xf>
    <xf numFmtId="2" fontId="1" fillId="0" borderId="18" xfId="0" applyNumberFormat="1" applyFont="1" applyBorder="1" applyAlignment="1">
      <alignment horizontal="center"/>
    </xf>
    <xf numFmtId="2" fontId="1" fillId="4" borderId="0" xfId="0" applyNumberFormat="1" applyFont="1" applyFill="1" applyAlignment="1">
      <alignment horizontal="center"/>
    </xf>
    <xf numFmtId="1" fontId="2" fillId="0" borderId="25" xfId="0" applyNumberFormat="1" applyFont="1" applyFill="1" applyBorder="1" applyAlignment="1">
      <alignment horizontal="center"/>
    </xf>
    <xf numFmtId="1" fontId="2" fillId="0" borderId="26" xfId="0" applyNumberFormat="1" applyFont="1" applyFill="1" applyBorder="1" applyAlignment="1">
      <alignment horizontal="center"/>
    </xf>
    <xf numFmtId="1" fontId="2" fillId="0" borderId="27" xfId="0" applyNumberFormat="1" applyFont="1" applyFill="1" applyBorder="1" applyAlignment="1">
      <alignment horizontal="center"/>
    </xf>
    <xf numFmtId="1" fontId="1" fillId="0" borderId="19" xfId="0" applyNumberFormat="1" applyFont="1" applyFill="1" applyBorder="1" applyAlignment="1">
      <alignment horizontal="center"/>
    </xf>
    <xf numFmtId="1" fontId="1" fillId="0" borderId="25" xfId="0" applyNumberFormat="1" applyFont="1" applyFill="1" applyBorder="1" applyAlignment="1">
      <alignment horizontal="center"/>
    </xf>
    <xf numFmtId="0" fontId="1" fillId="0" borderId="0" xfId="0" applyFont="1" applyBorder="1"/>
    <xf numFmtId="2" fontId="1" fillId="0" borderId="0" xfId="0" applyNumberFormat="1" applyFont="1" applyBorder="1" applyAlignment="1">
      <alignment horizontal="center"/>
    </xf>
    <xf numFmtId="0" fontId="1" fillId="0" borderId="0" xfId="0" applyFont="1" applyAlignment="1">
      <alignment horizont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1" fillId="2" borderId="0" xfId="0" applyFont="1" applyFill="1" applyAlignment="1">
      <alignment horizont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9" fillId="0" borderId="20" xfId="0" applyFont="1" applyBorder="1" applyAlignment="1">
      <alignment horizontal="center"/>
    </xf>
    <xf numFmtId="0" fontId="1" fillId="0" borderId="20" xfId="0" applyFont="1" applyBorder="1" applyAlignment="1">
      <alignment horizontal="center"/>
    </xf>
    <xf numFmtId="0" fontId="10" fillId="0" borderId="29" xfId="0" applyFont="1" applyBorder="1" applyAlignment="1">
      <alignment horizontal="center"/>
    </xf>
    <xf numFmtId="0" fontId="10" fillId="0" borderId="32" xfId="0" applyFont="1" applyBorder="1" applyAlignment="1">
      <alignment horizontal="center"/>
    </xf>
    <xf numFmtId="0" fontId="10" fillId="0" borderId="24" xfId="0" applyFont="1" applyBorder="1" applyAlignment="1">
      <alignment horizontal="center"/>
    </xf>
    <xf numFmtId="0" fontId="1" fillId="2" borderId="13" xfId="0" applyFont="1" applyFill="1" applyBorder="1" applyAlignment="1">
      <alignment horizont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9" fontId="3" fillId="0" borderId="0" xfId="0" applyNumberFormat="1" applyFont="1" applyAlignment="1">
      <alignment horizontal="right" indent="1"/>
    </xf>
    <xf numFmtId="9" fontId="3" fillId="0" borderId="20" xfId="0" applyNumberFormat="1" applyFont="1" applyBorder="1" applyAlignment="1">
      <alignment horizontal="right" indent="1"/>
    </xf>
    <xf numFmtId="0" fontId="7" fillId="0" borderId="0" xfId="0" applyFont="1" applyAlignment="1">
      <alignment horizontal="center" vertical="center" wrapText="1"/>
    </xf>
    <xf numFmtId="0" fontId="6"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110490</xdr:colOff>
      <xdr:row>19</xdr:row>
      <xdr:rowOff>160020</xdr:rowOff>
    </xdr:from>
    <xdr:to>
      <xdr:col>9</xdr:col>
      <xdr:colOff>11430</xdr:colOff>
      <xdr:row>29</xdr:row>
      <xdr:rowOff>175260</xdr:rowOff>
    </xdr:to>
    <xdr:sp macro="" textlink="">
      <xdr:nvSpPr>
        <xdr:cNvPr id="2" name="TextBox 1">
          <a:extLst>
            <a:ext uri="{FF2B5EF4-FFF2-40B4-BE49-F238E27FC236}">
              <a16:creationId xmlns:a16="http://schemas.microsoft.com/office/drawing/2014/main" id="{F0CA6752-FD45-8C79-862C-0400EDC926D5}"/>
            </a:ext>
          </a:extLst>
        </xdr:cNvPr>
        <xdr:cNvSpPr txBox="1"/>
      </xdr:nvSpPr>
      <xdr:spPr>
        <a:xfrm>
          <a:off x="110490" y="4015740"/>
          <a:ext cx="6515100" cy="2651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The highest level of assistance will be provided to households that have the lowest incomes and the highest energy costs or needs relative to their income, taking into account the size of the family.</a:t>
          </a:r>
        </a:p>
        <a:p>
          <a:r>
            <a:rPr lang="en-US" sz="1100" b="0" i="0">
              <a:solidFill>
                <a:schemeClr val="dk1"/>
              </a:solidFill>
              <a:effectLst/>
              <a:latin typeface="+mn-lt"/>
              <a:ea typeface="+mn-ea"/>
              <a:cs typeface="+mn-cs"/>
            </a:rPr>
            <a:t>The methodology for point assignment takes into account factors such as household size, income POP, and the cost of the main heating fuel. Each point is equivalent to 16.66, which is based on a maximum benefit of $250.00.</a:t>
          </a:r>
        </a:p>
        <a:p>
          <a:r>
            <a:rPr lang="en-US" sz="1100" b="0" i="0">
              <a:solidFill>
                <a:schemeClr val="dk1"/>
              </a:solidFill>
              <a:effectLst/>
              <a:latin typeface="+mn-lt"/>
              <a:ea typeface="+mn-ea"/>
              <a:cs typeface="+mn-cs"/>
            </a:rPr>
            <a:t>One point is allocated for each member in the household.</a:t>
          </a:r>
        </a:p>
        <a:p>
          <a:r>
            <a:rPr lang="en-US" sz="1100" b="0" i="0">
              <a:solidFill>
                <a:schemeClr val="dk1"/>
              </a:solidFill>
              <a:effectLst/>
              <a:latin typeface="+mn-lt"/>
              <a:ea typeface="+mn-ea"/>
              <a:cs typeface="+mn-cs"/>
            </a:rPr>
            <a:t>Points are assigned to different income brackets, with a higher number of points allocated to lower incomes. This is to ensure that the households with the lowest incomes receive the highest level of assistance. The income brackets are determined based on the Long Household report.</a:t>
          </a:r>
        </a:p>
        <a:p>
          <a:r>
            <a:rPr lang="en-US" sz="1100" b="0" i="0">
              <a:solidFill>
                <a:schemeClr val="dk1"/>
              </a:solidFill>
              <a:effectLst/>
              <a:latin typeface="+mn-lt"/>
              <a:ea typeface="+mn-ea"/>
              <a:cs typeface="+mn-cs"/>
            </a:rPr>
            <a:t>Regarding fuel points, the highest points are awarded to those with the highest costs of main heating fuel.</a:t>
          </a:r>
        </a:p>
        <a:p>
          <a:r>
            <a:rPr lang="en-US" sz="1100" b="0" i="0">
              <a:solidFill>
                <a:schemeClr val="dk1"/>
              </a:solidFill>
              <a:effectLst/>
              <a:latin typeface="+mn-lt"/>
              <a:ea typeface="+mn-ea"/>
              <a:cs typeface="+mn-cs"/>
            </a:rPr>
            <a:t>To determine the benefit amount, all the points for a household are added together and then multiplied by 16.66.  For example 1 single person household</a:t>
          </a:r>
          <a:r>
            <a:rPr lang="en-US" sz="1100" b="0" i="0" baseline="0">
              <a:solidFill>
                <a:schemeClr val="dk1"/>
              </a:solidFill>
              <a:effectLst/>
              <a:latin typeface="+mn-lt"/>
              <a:ea typeface="+mn-ea"/>
              <a:cs typeface="+mn-cs"/>
            </a:rPr>
            <a:t> with income at 45%FPL heating with electric would receive 1 point for HH size, 4 points for Income pop and 6 points for fuel costs.  11 points x 16.66= 183.26 (adjusted POP =184.00)</a:t>
          </a:r>
          <a:endParaRPr lang="en-US" sz="1100" b="0" i="0">
            <a:solidFill>
              <a:schemeClr val="dk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Bowling, Vickie (CHFS DCBS DFS)" id="{9A8AFE4B-BDF9-4B8F-A30E-E5B971155F0D}" userId="S::Vickie.Bowling@ky.gov::bc91449c-f84d-451f-ab5a-52d5fee9869c" providerId="AD"/>
  <person displayName="Hinkle, Jessica P (CHFS DCBS DFS PDB)" id="{416891FE-E00D-40A2-BED0-DCA48E38909A}" userId="S::jessica.hinkle@ky.gov::f2c8b3f0-1a56-4998-82fa-001c995926c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4-06-06T13:52:27.41" personId="{416891FE-E00D-40A2-BED0-DCA48E38909A}" id="{014BC00B-9567-45B8-B9CF-AE17CEA59239}">
    <text>Pls automate to FPL chart.</text>
  </threadedComment>
  <threadedComment ref="M4" dT="2024-06-06T13:51:23.24" personId="{416891FE-E00D-40A2-BED0-DCA48E38909A}" id="{1CFFB526-7BEA-4B39-ACA6-9BAF4D2119DD}">
    <text>Write a simple, short narrative to define point system.</text>
  </threadedComment>
  <threadedComment ref="Q9" dT="2024-06-10T14:55:07.43" personId="{9A8AFE4B-BDF9-4B8F-A30E-E5B971155F0D}" id="{1D3BDAAF-7D55-497F-80E1-26BF519289B3}">
    <text>Can you put a formula in here so we can adjust the amounts next year?</text>
  </threadedComment>
</ThreadedComments>
</file>

<file path=xl/threadedComments/threadedComment2.xml><?xml version="1.0" encoding="utf-8"?>
<ThreadedComments xmlns="http://schemas.microsoft.com/office/spreadsheetml/2018/threadedcomments" xmlns:x="http://schemas.openxmlformats.org/spreadsheetml/2006/main">
  <threadedComment ref="R11" dT="2024-06-10T14:56:29.28" personId="{9A8AFE4B-BDF9-4B8F-A30E-E5B971155F0D}" id="{418C3B40-FFBE-42CA-A6A0-9D4DBD15D7CE}">
    <text>Can a formula be put in this column to match the chart on the left side of the page?</text>
  </threadedComment>
  <threadedComment ref="Q28" dT="2024-06-06T13:47:58.32" personId="{416891FE-E00D-40A2-BED0-DCA48E38909A}" id="{953ACFCC-ABC5-435F-8068-3FBA8EDAB051}">
    <text>Please add percentages.</text>
  </threadedComment>
</ThreadedComments>
</file>

<file path=xl/threadedComments/threadedComment3.xml><?xml version="1.0" encoding="utf-8"?>
<ThreadedComments xmlns="http://schemas.microsoft.com/office/spreadsheetml/2018/threadedcomments" xmlns:x="http://schemas.openxmlformats.org/spreadsheetml/2006/main">
  <threadedComment ref="R11" dT="2024-06-10T14:56:29.28" personId="{9A8AFE4B-BDF9-4B8F-A30E-E5B971155F0D}" id="{A9F418E6-D9EB-44E9-B3FF-6805FE53CE87}">
    <text>Can a formula be put in this column to match the chart on the left side of the page?</text>
  </threadedComment>
  <threadedComment ref="Q28" dT="2024-06-06T13:47:58.32" personId="{416891FE-E00D-40A2-BED0-DCA48E38909A}" id="{89FCB491-DEFA-48CC-8252-1469A2D106B5}">
    <text>Please add percentages.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7D54-845E-4A16-B6FD-574A59113980}">
  <dimension ref="A1:T41"/>
  <sheetViews>
    <sheetView workbookViewId="0">
      <selection sqref="A1:XFD1048576"/>
    </sheetView>
    <sheetView workbookViewId="1">
      <selection activeCell="E23" sqref="E23"/>
    </sheetView>
  </sheetViews>
  <sheetFormatPr defaultColWidth="8.81640625" defaultRowHeight="12" x14ac:dyDescent="0.3"/>
  <cols>
    <col min="1" max="2" width="9.453125" style="2" customWidth="1"/>
    <col min="3" max="3" width="10.1796875" style="2" customWidth="1"/>
    <col min="4" max="5" width="8.81640625" style="2"/>
    <col min="6" max="6" width="11.1796875" style="2" customWidth="1"/>
    <col min="7" max="15" width="8.81640625" style="2"/>
    <col min="16" max="16" width="0" style="2" hidden="1" customWidth="1"/>
    <col min="17" max="16384" width="8.81640625" style="2"/>
  </cols>
  <sheetData>
    <row r="1" spans="1:20" x14ac:dyDescent="0.3">
      <c r="A1" s="122" t="s">
        <v>0</v>
      </c>
      <c r="B1" s="122"/>
      <c r="C1" s="122"/>
      <c r="D1" s="122"/>
      <c r="E1" s="122" t="s">
        <v>1</v>
      </c>
      <c r="F1" s="122"/>
      <c r="G1" s="122"/>
      <c r="H1" s="122"/>
      <c r="I1" s="122"/>
      <c r="J1" s="122"/>
      <c r="K1" s="2" t="s">
        <v>2</v>
      </c>
    </row>
    <row r="2" spans="1:20" s="1" customFormat="1" ht="24.5" thickBot="1" x14ac:dyDescent="0.35">
      <c r="A2" s="8" t="s">
        <v>3</v>
      </c>
      <c r="B2" s="8"/>
      <c r="C2" s="126" t="s">
        <v>4</v>
      </c>
      <c r="D2" s="126"/>
      <c r="E2" s="9" t="s">
        <v>5</v>
      </c>
      <c r="F2" s="9" t="s">
        <v>6</v>
      </c>
      <c r="G2" s="9" t="s">
        <v>7</v>
      </c>
      <c r="H2" s="9" t="s">
        <v>8</v>
      </c>
      <c r="I2" s="9" t="s">
        <v>9</v>
      </c>
      <c r="J2" s="9" t="s">
        <v>10</v>
      </c>
      <c r="K2" s="19" t="s">
        <v>11</v>
      </c>
      <c r="O2" s="1" t="s">
        <v>12</v>
      </c>
      <c r="Q2" s="1">
        <v>250</v>
      </c>
    </row>
    <row r="3" spans="1:20" x14ac:dyDescent="0.3">
      <c r="A3" s="123">
        <v>1</v>
      </c>
      <c r="B3" s="10" t="s">
        <v>13</v>
      </c>
      <c r="C3" s="13">
        <v>0</v>
      </c>
      <c r="D3" s="53">
        <f>Q27</f>
        <v>942</v>
      </c>
      <c r="E3" s="27">
        <f>1+4+6</f>
        <v>11</v>
      </c>
      <c r="F3" s="27">
        <f>1+4+3</f>
        <v>8</v>
      </c>
      <c r="G3" s="27">
        <f>1+4+5</f>
        <v>10</v>
      </c>
      <c r="H3" s="27">
        <f>1+4+2</f>
        <v>7</v>
      </c>
      <c r="I3" s="27">
        <f>1+4+1</f>
        <v>6</v>
      </c>
      <c r="J3" s="28">
        <f>1+4+4</f>
        <v>9</v>
      </c>
      <c r="K3" s="27"/>
    </row>
    <row r="4" spans="1:20" x14ac:dyDescent="0.3">
      <c r="A4" s="124"/>
      <c r="B4" s="2" t="s">
        <v>14</v>
      </c>
      <c r="C4" s="14">
        <f>D3+1</f>
        <v>943</v>
      </c>
      <c r="D4" s="54">
        <f>R27</f>
        <v>1255</v>
      </c>
      <c r="E4" s="29">
        <f>1+3+6</f>
        <v>10</v>
      </c>
      <c r="F4" s="29">
        <f>1+3+3</f>
        <v>7</v>
      </c>
      <c r="G4" s="29">
        <f>1+3+5</f>
        <v>9</v>
      </c>
      <c r="H4" s="29">
        <f>1+3+2</f>
        <v>6</v>
      </c>
      <c r="I4" s="29">
        <f>1+3+1</f>
        <v>5</v>
      </c>
      <c r="J4" s="30">
        <f>1+3+4</f>
        <v>8</v>
      </c>
      <c r="K4" s="29"/>
      <c r="M4" s="52"/>
    </row>
    <row r="5" spans="1:20" x14ac:dyDescent="0.3">
      <c r="A5" s="124"/>
      <c r="B5" s="2" t="s">
        <v>15</v>
      </c>
      <c r="C5" s="14">
        <f>D4+1</f>
        <v>1256</v>
      </c>
      <c r="D5" s="55">
        <f>S27</f>
        <v>1569</v>
      </c>
      <c r="E5" s="29">
        <f>1+2+6</f>
        <v>9</v>
      </c>
      <c r="F5" s="29">
        <f>1+2+3</f>
        <v>6</v>
      </c>
      <c r="G5" s="29">
        <f>1+2+5</f>
        <v>8</v>
      </c>
      <c r="H5" s="29">
        <f>1+2+2</f>
        <v>5</v>
      </c>
      <c r="I5" s="29">
        <f>1+2+1</f>
        <v>4</v>
      </c>
      <c r="J5" s="30">
        <f>1+2+4</f>
        <v>7</v>
      </c>
      <c r="K5" s="29"/>
    </row>
    <row r="6" spans="1:20" ht="12.5" thickBot="1" x14ac:dyDescent="0.35">
      <c r="A6" s="125"/>
      <c r="B6" s="11" t="s">
        <v>16</v>
      </c>
      <c r="C6" s="15">
        <f>D5+1</f>
        <v>1570</v>
      </c>
      <c r="D6" s="56">
        <f>T27</f>
        <v>1883</v>
      </c>
      <c r="E6" s="31">
        <f>1+1+6</f>
        <v>8</v>
      </c>
      <c r="F6" s="31">
        <f>1+1+3</f>
        <v>5</v>
      </c>
      <c r="G6" s="31">
        <f>1+1+5</f>
        <v>7</v>
      </c>
      <c r="H6" s="31">
        <f>1+1+2</f>
        <v>4</v>
      </c>
      <c r="I6" s="31">
        <f>1+1+1</f>
        <v>3</v>
      </c>
      <c r="J6" s="32">
        <f>1+1+4</f>
        <v>6</v>
      </c>
      <c r="K6" s="31"/>
      <c r="O6" s="3"/>
      <c r="P6" s="3"/>
    </row>
    <row r="7" spans="1:20" ht="12.5" thickBot="1" x14ac:dyDescent="0.35">
      <c r="A7" s="1"/>
      <c r="C7" s="12"/>
      <c r="D7" s="57"/>
      <c r="E7" s="33"/>
      <c r="F7" s="33"/>
      <c r="G7" s="33"/>
      <c r="H7" s="33"/>
      <c r="I7" s="33"/>
      <c r="J7" s="33"/>
      <c r="K7" s="33"/>
    </row>
    <row r="8" spans="1:20" ht="21" x14ac:dyDescent="0.3">
      <c r="A8" s="123">
        <v>2</v>
      </c>
      <c r="B8" s="10" t="s">
        <v>13</v>
      </c>
      <c r="C8" s="14">
        <v>0</v>
      </c>
      <c r="D8" s="55">
        <f>Q28</f>
        <v>1278</v>
      </c>
      <c r="E8" s="27">
        <f>2+6+4</f>
        <v>12</v>
      </c>
      <c r="F8" s="27">
        <f>2+4+3</f>
        <v>9</v>
      </c>
      <c r="G8" s="27">
        <f>2+5+4</f>
        <v>11</v>
      </c>
      <c r="H8" s="27">
        <f>2+1+4</f>
        <v>7</v>
      </c>
      <c r="I8" s="27">
        <f>2+1+4</f>
        <v>7</v>
      </c>
      <c r="J8" s="27">
        <f>2+4+4</f>
        <v>10</v>
      </c>
      <c r="K8" s="27"/>
      <c r="O8" s="6" t="s">
        <v>17</v>
      </c>
      <c r="P8" s="7">
        <v>1</v>
      </c>
      <c r="Q8" s="7">
        <v>0.75</v>
      </c>
      <c r="R8" s="7">
        <v>1</v>
      </c>
      <c r="S8" s="7">
        <v>1.25</v>
      </c>
      <c r="T8" s="7">
        <v>1.5</v>
      </c>
    </row>
    <row r="9" spans="1:20" x14ac:dyDescent="0.3">
      <c r="A9" s="124"/>
      <c r="B9" s="2" t="s">
        <v>14</v>
      </c>
      <c r="C9" s="14">
        <f>D8+1</f>
        <v>1279</v>
      </c>
      <c r="D9" s="55">
        <f>R28</f>
        <v>1704</v>
      </c>
      <c r="E9" s="29">
        <f>2+6+3</f>
        <v>11</v>
      </c>
      <c r="F9" s="29">
        <v>8</v>
      </c>
      <c r="G9" s="29">
        <v>10</v>
      </c>
      <c r="H9" s="29">
        <v>6</v>
      </c>
      <c r="I9" s="29">
        <f>2+1+3</f>
        <v>6</v>
      </c>
      <c r="J9" s="29">
        <f>2+4+3</f>
        <v>9</v>
      </c>
      <c r="K9" s="29"/>
      <c r="O9" s="5">
        <v>1</v>
      </c>
      <c r="P9" s="4">
        <v>1255</v>
      </c>
      <c r="Q9" s="4">
        <f>ROUNDUP(941.25,2)</f>
        <v>941.25</v>
      </c>
      <c r="R9" s="4">
        <v>1255</v>
      </c>
      <c r="S9" s="4">
        <v>1568.75</v>
      </c>
      <c r="T9" s="4">
        <v>1882.5</v>
      </c>
    </row>
    <row r="10" spans="1:20" x14ac:dyDescent="0.3">
      <c r="A10" s="124"/>
      <c r="B10" s="2" t="s">
        <v>15</v>
      </c>
      <c r="C10" s="14">
        <f t="shared" ref="C10:C11" si="0">D9+1</f>
        <v>1705</v>
      </c>
      <c r="D10" s="55">
        <f>S28</f>
        <v>2130</v>
      </c>
      <c r="E10" s="29">
        <f>2+6+2</f>
        <v>10</v>
      </c>
      <c r="F10" s="29">
        <v>7</v>
      </c>
      <c r="G10" s="29">
        <v>9</v>
      </c>
      <c r="H10" s="29">
        <v>5</v>
      </c>
      <c r="I10" s="29">
        <f>2+1+2</f>
        <v>5</v>
      </c>
      <c r="J10" s="29">
        <f>2+4+2</f>
        <v>8</v>
      </c>
      <c r="K10" s="29"/>
      <c r="O10" s="5">
        <v>2</v>
      </c>
      <c r="P10" s="4">
        <v>1703.3333333333333</v>
      </c>
      <c r="Q10" s="4">
        <v>1277.5</v>
      </c>
      <c r="R10" s="4">
        <v>1703.3333333333333</v>
      </c>
      <c r="S10" s="4">
        <v>2129.1666666666665</v>
      </c>
      <c r="T10" s="4">
        <v>2555</v>
      </c>
    </row>
    <row r="11" spans="1:20" ht="12.5" thickBot="1" x14ac:dyDescent="0.35">
      <c r="A11" s="125"/>
      <c r="B11" s="11" t="s">
        <v>16</v>
      </c>
      <c r="C11" s="15">
        <f t="shared" si="0"/>
        <v>2131</v>
      </c>
      <c r="D11" s="56">
        <f>T28</f>
        <v>2555</v>
      </c>
      <c r="E11" s="31">
        <f>2+6+1</f>
        <v>9</v>
      </c>
      <c r="F11" s="31">
        <v>6</v>
      </c>
      <c r="G11" s="31">
        <v>8</v>
      </c>
      <c r="H11" s="31">
        <v>4</v>
      </c>
      <c r="I11" s="31">
        <f>2+1+1</f>
        <v>4</v>
      </c>
      <c r="J11" s="31">
        <f>2+4+1</f>
        <v>7</v>
      </c>
      <c r="K11" s="31"/>
      <c r="O11" s="5">
        <v>3</v>
      </c>
      <c r="P11" s="4">
        <v>2151.6666666666665</v>
      </c>
      <c r="Q11" s="4">
        <v>1613.75</v>
      </c>
      <c r="R11" s="4">
        <v>2151.6666666666665</v>
      </c>
      <c r="S11" s="4">
        <v>2689.5833333333335</v>
      </c>
      <c r="T11" s="4">
        <v>3227.5</v>
      </c>
    </row>
    <row r="12" spans="1:20" ht="12.5" thickBot="1" x14ac:dyDescent="0.35">
      <c r="C12" s="12"/>
      <c r="D12" s="57"/>
      <c r="E12" s="33"/>
      <c r="F12" s="33"/>
      <c r="G12" s="33"/>
      <c r="H12" s="33"/>
      <c r="I12" s="33"/>
      <c r="J12" s="33"/>
      <c r="K12" s="33"/>
      <c r="O12" s="5">
        <v>4</v>
      </c>
      <c r="P12" s="4">
        <v>2600</v>
      </c>
      <c r="Q12" s="4">
        <v>1950</v>
      </c>
      <c r="R12" s="4">
        <v>2600</v>
      </c>
      <c r="S12" s="4">
        <v>3250</v>
      </c>
      <c r="T12" s="4">
        <v>3900</v>
      </c>
    </row>
    <row r="13" spans="1:20" x14ac:dyDescent="0.3">
      <c r="A13" s="123">
        <v>3</v>
      </c>
      <c r="B13" s="10" t="s">
        <v>13</v>
      </c>
      <c r="C13" s="13">
        <v>0</v>
      </c>
      <c r="D13" s="58">
        <f>Q29</f>
        <v>1614</v>
      </c>
      <c r="E13" s="27">
        <f>3+6+4</f>
        <v>13</v>
      </c>
      <c r="F13" s="27">
        <f>3+3+4</f>
        <v>10</v>
      </c>
      <c r="G13" s="27">
        <f>3+5+4</f>
        <v>12</v>
      </c>
      <c r="H13" s="27">
        <f>3+2+4</f>
        <v>9</v>
      </c>
      <c r="I13" s="27">
        <f>3+1+4</f>
        <v>8</v>
      </c>
      <c r="J13" s="27">
        <f>3+4+4</f>
        <v>11</v>
      </c>
      <c r="K13" s="27"/>
      <c r="O13" s="5">
        <v>5</v>
      </c>
      <c r="P13" s="4">
        <v>3048.3333333333335</v>
      </c>
      <c r="Q13" s="4">
        <v>2286.25</v>
      </c>
      <c r="R13" s="4">
        <v>3048.3333333333335</v>
      </c>
      <c r="S13" s="4">
        <v>3810.4166666666665</v>
      </c>
      <c r="T13" s="4">
        <v>4572.5</v>
      </c>
    </row>
    <row r="14" spans="1:20" x14ac:dyDescent="0.3">
      <c r="A14" s="124"/>
      <c r="B14" s="2" t="s">
        <v>14</v>
      </c>
      <c r="C14" s="14">
        <f>D13+1</f>
        <v>1615</v>
      </c>
      <c r="D14" s="55">
        <f>R29</f>
        <v>2152</v>
      </c>
      <c r="E14" s="29">
        <f>3+6+3</f>
        <v>12</v>
      </c>
      <c r="F14" s="29">
        <f>3+3+3</f>
        <v>9</v>
      </c>
      <c r="G14" s="29">
        <f>3+5+3</f>
        <v>11</v>
      </c>
      <c r="H14" s="29">
        <f>3+2+3</f>
        <v>8</v>
      </c>
      <c r="I14" s="29">
        <f>3+1+3</f>
        <v>7</v>
      </c>
      <c r="J14" s="29">
        <f>3+4+3</f>
        <v>10</v>
      </c>
      <c r="K14" s="29"/>
      <c r="O14" s="5">
        <v>6</v>
      </c>
      <c r="P14" s="4">
        <v>3496.6666666666665</v>
      </c>
      <c r="Q14" s="4">
        <v>2622.5</v>
      </c>
      <c r="R14" s="4">
        <v>3496.6666666666665</v>
      </c>
      <c r="S14" s="4">
        <v>4370.833333333333</v>
      </c>
      <c r="T14" s="4">
        <v>5245</v>
      </c>
    </row>
    <row r="15" spans="1:20" x14ac:dyDescent="0.3">
      <c r="A15" s="124"/>
      <c r="B15" s="2" t="s">
        <v>15</v>
      </c>
      <c r="C15" s="14">
        <f t="shared" ref="C15:C41" si="1">D14+1</f>
        <v>2153</v>
      </c>
      <c r="D15" s="55">
        <f>S29</f>
        <v>2690</v>
      </c>
      <c r="E15" s="29">
        <f>3+6+2</f>
        <v>11</v>
      </c>
      <c r="F15" s="29">
        <f>3+3+2</f>
        <v>8</v>
      </c>
      <c r="G15" s="29">
        <f>3+5+2</f>
        <v>10</v>
      </c>
      <c r="H15" s="29">
        <f>3+2+2</f>
        <v>7</v>
      </c>
      <c r="I15" s="29">
        <f>3+1+2</f>
        <v>6</v>
      </c>
      <c r="J15" s="29">
        <f>3+4+2</f>
        <v>9</v>
      </c>
      <c r="K15" s="29"/>
      <c r="O15" s="5">
        <v>7</v>
      </c>
      <c r="P15" s="4">
        <v>3945</v>
      </c>
      <c r="Q15" s="4">
        <v>2958.75</v>
      </c>
      <c r="R15" s="4">
        <v>3945</v>
      </c>
      <c r="S15" s="4">
        <v>4931.25</v>
      </c>
      <c r="T15" s="4">
        <v>5917.5</v>
      </c>
    </row>
    <row r="16" spans="1:20" ht="12.5" thickBot="1" x14ac:dyDescent="0.35">
      <c r="A16" s="125"/>
      <c r="B16" s="11" t="s">
        <v>16</v>
      </c>
      <c r="C16" s="15">
        <f t="shared" si="1"/>
        <v>2691</v>
      </c>
      <c r="D16" s="56">
        <f>T29</f>
        <v>3228</v>
      </c>
      <c r="E16" s="31">
        <f>3+6+1</f>
        <v>10</v>
      </c>
      <c r="F16" s="31">
        <f>3+3+1</f>
        <v>7</v>
      </c>
      <c r="G16" s="31">
        <f>3+5+1</f>
        <v>9</v>
      </c>
      <c r="H16" s="31">
        <f>3+2+1</f>
        <v>6</v>
      </c>
      <c r="I16" s="31">
        <f>3+1+1</f>
        <v>5</v>
      </c>
      <c r="J16" s="31">
        <f>3+4+1</f>
        <v>8</v>
      </c>
      <c r="K16" s="31"/>
      <c r="O16" s="5">
        <v>8</v>
      </c>
      <c r="P16" s="4">
        <v>4393.333333333333</v>
      </c>
      <c r="Q16" s="4">
        <v>3295</v>
      </c>
      <c r="R16" s="4">
        <v>4393.333333333333</v>
      </c>
      <c r="S16" s="4">
        <v>5491.666666666667</v>
      </c>
      <c r="T16" s="4">
        <v>6590</v>
      </c>
    </row>
    <row r="17" spans="1:20" ht="12.5" thickBot="1" x14ac:dyDescent="0.35">
      <c r="C17" s="12"/>
      <c r="D17" s="57"/>
      <c r="E17" s="33"/>
      <c r="F17" s="33"/>
      <c r="G17" s="33"/>
      <c r="H17" s="33"/>
      <c r="I17" s="33"/>
      <c r="J17" s="33"/>
      <c r="K17" s="33"/>
      <c r="O17" s="5">
        <v>9</v>
      </c>
      <c r="P17" s="4">
        <v>4841.666666666667</v>
      </c>
      <c r="Q17" s="4">
        <v>3631.25</v>
      </c>
      <c r="R17" s="4">
        <v>4841.666666666667</v>
      </c>
      <c r="S17" s="4">
        <v>6052.083333333333</v>
      </c>
      <c r="T17" s="4">
        <v>7262.5</v>
      </c>
    </row>
    <row r="18" spans="1:20" x14ac:dyDescent="0.3">
      <c r="A18" s="123">
        <v>4</v>
      </c>
      <c r="B18" s="10" t="s">
        <v>13</v>
      </c>
      <c r="C18" s="13">
        <v>0</v>
      </c>
      <c r="D18" s="58">
        <f>Q30</f>
        <v>1950</v>
      </c>
      <c r="E18" s="27">
        <f>4+6+4</f>
        <v>14</v>
      </c>
      <c r="F18" s="27">
        <f>4+3+4</f>
        <v>11</v>
      </c>
      <c r="G18" s="27">
        <f>4+5+4</f>
        <v>13</v>
      </c>
      <c r="H18" s="27">
        <f>4+2+4</f>
        <v>10</v>
      </c>
      <c r="I18" s="27">
        <f>4+1+4</f>
        <v>9</v>
      </c>
      <c r="J18" s="28">
        <f>4+4+4</f>
        <v>12</v>
      </c>
      <c r="K18" s="27"/>
      <c r="O18" s="5">
        <v>10</v>
      </c>
      <c r="P18" s="4">
        <v>5290</v>
      </c>
      <c r="Q18" s="4">
        <v>3967.5</v>
      </c>
      <c r="R18" s="4">
        <v>5290</v>
      </c>
      <c r="S18" s="4">
        <v>6612.5</v>
      </c>
      <c r="T18" s="4">
        <v>7935</v>
      </c>
    </row>
    <row r="19" spans="1:20" x14ac:dyDescent="0.3">
      <c r="A19" s="124"/>
      <c r="B19" s="2" t="s">
        <v>14</v>
      </c>
      <c r="C19" s="14">
        <f t="shared" si="1"/>
        <v>1951</v>
      </c>
      <c r="D19" s="55">
        <f>R30</f>
        <v>2600</v>
      </c>
      <c r="E19" s="29">
        <f>4+6+3</f>
        <v>13</v>
      </c>
      <c r="F19" s="29">
        <f>4+3+3</f>
        <v>10</v>
      </c>
      <c r="G19" s="29">
        <f>4+5+3</f>
        <v>12</v>
      </c>
      <c r="H19" s="29">
        <f>4+2+3</f>
        <v>9</v>
      </c>
      <c r="I19" s="29">
        <f>4+1+3</f>
        <v>8</v>
      </c>
      <c r="J19" s="30">
        <f>4+4+3</f>
        <v>11</v>
      </c>
      <c r="K19" s="29"/>
      <c r="O19" s="5">
        <v>11</v>
      </c>
      <c r="P19" s="4">
        <v>5738.333333333333</v>
      </c>
      <c r="Q19" s="4">
        <v>4303.75</v>
      </c>
      <c r="R19" s="4">
        <v>5738.333333333333</v>
      </c>
      <c r="S19" s="4">
        <v>7172.916666666667</v>
      </c>
      <c r="T19" s="4">
        <v>8607.5</v>
      </c>
    </row>
    <row r="20" spans="1:20" x14ac:dyDescent="0.3">
      <c r="A20" s="124"/>
      <c r="B20" s="2" t="s">
        <v>15</v>
      </c>
      <c r="C20" s="14">
        <f t="shared" si="1"/>
        <v>2601</v>
      </c>
      <c r="D20" s="55">
        <f>S30</f>
        <v>3250</v>
      </c>
      <c r="E20" s="29">
        <f>4+6+2</f>
        <v>12</v>
      </c>
      <c r="F20" s="29">
        <f>4+3+2</f>
        <v>9</v>
      </c>
      <c r="G20" s="29">
        <f>4+5+2</f>
        <v>11</v>
      </c>
      <c r="H20" s="29">
        <f>4+2+2</f>
        <v>8</v>
      </c>
      <c r="I20" s="29">
        <f>4+1+2</f>
        <v>7</v>
      </c>
      <c r="J20" s="30">
        <f>4+4+2</f>
        <v>10</v>
      </c>
      <c r="K20" s="29"/>
      <c r="O20" s="5">
        <v>12</v>
      </c>
      <c r="P20" s="4">
        <v>6186.666666666667</v>
      </c>
      <c r="Q20" s="4">
        <v>4640</v>
      </c>
      <c r="R20" s="4">
        <v>6186.666666666667</v>
      </c>
      <c r="S20" s="4">
        <v>7733.333333333333</v>
      </c>
      <c r="T20" s="4">
        <v>9280</v>
      </c>
    </row>
    <row r="21" spans="1:20" ht="12.5" thickBot="1" x14ac:dyDescent="0.35">
      <c r="A21" s="125"/>
      <c r="B21" s="11" t="s">
        <v>16</v>
      </c>
      <c r="C21" s="15">
        <f t="shared" si="1"/>
        <v>3251</v>
      </c>
      <c r="D21" s="56">
        <f>T30</f>
        <v>3900</v>
      </c>
      <c r="E21" s="31">
        <f>4+6+1</f>
        <v>11</v>
      </c>
      <c r="F21" s="31">
        <f>4+3+1</f>
        <v>8</v>
      </c>
      <c r="G21" s="31">
        <f>4+5+1</f>
        <v>10</v>
      </c>
      <c r="H21" s="31">
        <f>4+2+1</f>
        <v>7</v>
      </c>
      <c r="I21" s="31">
        <f>4+1+1</f>
        <v>6</v>
      </c>
      <c r="J21" s="32">
        <f>4+4+1</f>
        <v>9</v>
      </c>
      <c r="K21" s="31"/>
      <c r="O21" s="5">
        <v>13</v>
      </c>
      <c r="P21" s="4">
        <v>6635</v>
      </c>
      <c r="Q21" s="4">
        <v>4976.25</v>
      </c>
      <c r="R21" s="4">
        <v>6635</v>
      </c>
      <c r="S21" s="4">
        <v>8293.75</v>
      </c>
      <c r="T21" s="4">
        <v>9952.5</v>
      </c>
    </row>
    <row r="22" spans="1:20" ht="12.5" thickBot="1" x14ac:dyDescent="0.35">
      <c r="A22" s="2" t="s">
        <v>18</v>
      </c>
      <c r="C22" s="12"/>
      <c r="D22" s="57"/>
      <c r="E22" s="33"/>
      <c r="F22" s="33"/>
      <c r="G22" s="33"/>
      <c r="H22" s="33"/>
      <c r="I22" s="33"/>
      <c r="J22" s="33"/>
      <c r="K22" s="33"/>
      <c r="O22" s="5">
        <v>14</v>
      </c>
      <c r="P22" s="4">
        <v>7083.333333333333</v>
      </c>
      <c r="Q22" s="4">
        <v>5312.5</v>
      </c>
      <c r="R22" s="4">
        <v>7083.333333333333</v>
      </c>
      <c r="S22" s="4">
        <v>8854.1666666666661</v>
      </c>
      <c r="T22" s="4">
        <v>10625</v>
      </c>
    </row>
    <row r="23" spans="1:20" x14ac:dyDescent="0.3">
      <c r="A23" s="123">
        <v>5</v>
      </c>
      <c r="B23" s="10" t="s">
        <v>13</v>
      </c>
      <c r="C23" s="13">
        <f>0</f>
        <v>0</v>
      </c>
      <c r="D23" s="58">
        <f>Q31</f>
        <v>2287</v>
      </c>
      <c r="E23" s="27">
        <f>5+6+4</f>
        <v>15</v>
      </c>
      <c r="F23" s="27">
        <f>5+3+4</f>
        <v>12</v>
      </c>
      <c r="G23" s="27">
        <f>5+5+4</f>
        <v>14</v>
      </c>
      <c r="H23" s="27">
        <f>5+2+4</f>
        <v>11</v>
      </c>
      <c r="I23" s="27">
        <f>5+1+4</f>
        <v>10</v>
      </c>
      <c r="J23" s="27">
        <f>5+4+4</f>
        <v>13</v>
      </c>
      <c r="K23" s="27"/>
    </row>
    <row r="24" spans="1:20" x14ac:dyDescent="0.3">
      <c r="A24" s="124"/>
      <c r="B24" s="2" t="s">
        <v>14</v>
      </c>
      <c r="C24" s="14">
        <f t="shared" si="1"/>
        <v>2288</v>
      </c>
      <c r="D24" s="55">
        <f>R31</f>
        <v>3049</v>
      </c>
      <c r="E24" s="29">
        <f>5+6+3</f>
        <v>14</v>
      </c>
      <c r="F24" s="29">
        <f>5+3+3</f>
        <v>11</v>
      </c>
      <c r="G24" s="29">
        <f>5+5+3</f>
        <v>13</v>
      </c>
      <c r="H24" s="29">
        <f>5+2+3</f>
        <v>10</v>
      </c>
      <c r="I24" s="29">
        <f>5+1+3</f>
        <v>9</v>
      </c>
      <c r="J24" s="29">
        <f>5+4+3</f>
        <v>12</v>
      </c>
      <c r="K24" s="29"/>
    </row>
    <row r="25" spans="1:20" x14ac:dyDescent="0.3">
      <c r="A25" s="124"/>
      <c r="B25" s="2" t="s">
        <v>15</v>
      </c>
      <c r="C25" s="14">
        <f t="shared" si="1"/>
        <v>3050</v>
      </c>
      <c r="D25" s="55">
        <f>S31</f>
        <v>3811</v>
      </c>
      <c r="E25" s="29">
        <f>5+6+2</f>
        <v>13</v>
      </c>
      <c r="F25" s="29">
        <f>5+3+2</f>
        <v>10</v>
      </c>
      <c r="G25" s="29">
        <f>5+5+2</f>
        <v>12</v>
      </c>
      <c r="H25" s="29">
        <f>5+2+2</f>
        <v>9</v>
      </c>
      <c r="I25" s="29">
        <f>5+1+2</f>
        <v>8</v>
      </c>
      <c r="J25" s="29">
        <f>5+4+2</f>
        <v>11</v>
      </c>
      <c r="K25" s="29"/>
      <c r="O25" s="2" t="s">
        <v>19</v>
      </c>
    </row>
    <row r="26" spans="1:20" ht="12.75" customHeight="1" thickBot="1" x14ac:dyDescent="0.35">
      <c r="A26" s="125"/>
      <c r="B26" s="11" t="s">
        <v>16</v>
      </c>
      <c r="C26" s="15">
        <f t="shared" si="1"/>
        <v>3812</v>
      </c>
      <c r="D26" s="56">
        <f>T31</f>
        <v>4573</v>
      </c>
      <c r="E26" s="31">
        <f>5+6+1</f>
        <v>12</v>
      </c>
      <c r="F26" s="31">
        <f>5+3+1</f>
        <v>9</v>
      </c>
      <c r="G26" s="31">
        <f>5+5+1</f>
        <v>11</v>
      </c>
      <c r="H26" s="31">
        <f>5+2+1</f>
        <v>8</v>
      </c>
      <c r="I26" s="31">
        <f>5+1+1</f>
        <v>7</v>
      </c>
      <c r="J26" s="31">
        <f>5+4+1</f>
        <v>10</v>
      </c>
      <c r="K26" s="31"/>
      <c r="O26" s="6" t="s">
        <v>17</v>
      </c>
    </row>
    <row r="27" spans="1:20" ht="12.5" thickBot="1" x14ac:dyDescent="0.35">
      <c r="C27" s="12"/>
      <c r="D27" s="57"/>
      <c r="O27" s="5">
        <v>1</v>
      </c>
      <c r="Q27" s="4">
        <f>ISO.CEILING(Q9)</f>
        <v>942</v>
      </c>
      <c r="R27" s="4">
        <f t="shared" ref="R27:T27" si="2">ISO.CEILING(R9)</f>
        <v>1255</v>
      </c>
      <c r="S27" s="4">
        <f t="shared" si="2"/>
        <v>1569</v>
      </c>
      <c r="T27" s="4">
        <f t="shared" si="2"/>
        <v>1883</v>
      </c>
    </row>
    <row r="28" spans="1:20" x14ac:dyDescent="0.3">
      <c r="A28" s="123">
        <v>6</v>
      </c>
      <c r="B28" s="10" t="s">
        <v>13</v>
      </c>
      <c r="C28" s="13">
        <v>0</v>
      </c>
      <c r="D28" s="58">
        <f>Q32</f>
        <v>2623</v>
      </c>
      <c r="E28" s="27">
        <f>5+6+4</f>
        <v>15</v>
      </c>
      <c r="F28" s="27">
        <f>5+3+4</f>
        <v>12</v>
      </c>
      <c r="G28" s="27">
        <f>5+5+4</f>
        <v>14</v>
      </c>
      <c r="H28" s="27">
        <f>5+2+4</f>
        <v>11</v>
      </c>
      <c r="I28" s="27">
        <f>5+1+4</f>
        <v>10</v>
      </c>
      <c r="J28" s="27">
        <f>5+4+4</f>
        <v>13</v>
      </c>
      <c r="K28" s="18"/>
      <c r="O28" s="5">
        <v>2</v>
      </c>
      <c r="Q28" s="4">
        <f t="shared" ref="Q28:T40" si="3">ISO.CEILING(Q10)</f>
        <v>1278</v>
      </c>
      <c r="R28" s="4">
        <f t="shared" si="3"/>
        <v>1704</v>
      </c>
      <c r="S28" s="4">
        <f t="shared" si="3"/>
        <v>2130</v>
      </c>
      <c r="T28" s="4">
        <f t="shared" si="3"/>
        <v>2555</v>
      </c>
    </row>
    <row r="29" spans="1:20" x14ac:dyDescent="0.3">
      <c r="A29" s="124"/>
      <c r="B29" s="2" t="s">
        <v>14</v>
      </c>
      <c r="C29" s="14">
        <f t="shared" si="1"/>
        <v>2624</v>
      </c>
      <c r="D29" s="55">
        <f>R32</f>
        <v>3497</v>
      </c>
      <c r="E29" s="29">
        <f>5+6+3</f>
        <v>14</v>
      </c>
      <c r="F29" s="29">
        <f>5+3+3</f>
        <v>11</v>
      </c>
      <c r="G29" s="29">
        <f>5+5+3</f>
        <v>13</v>
      </c>
      <c r="H29" s="29">
        <f>5+2+3</f>
        <v>10</v>
      </c>
      <c r="I29" s="29">
        <f>5+1+3</f>
        <v>9</v>
      </c>
      <c r="J29" s="29">
        <f>5+4+3</f>
        <v>12</v>
      </c>
      <c r="K29" s="16"/>
      <c r="O29" s="5">
        <v>3</v>
      </c>
      <c r="Q29" s="4">
        <f t="shared" si="3"/>
        <v>1614</v>
      </c>
      <c r="R29" s="4">
        <f t="shared" si="3"/>
        <v>2152</v>
      </c>
      <c r="S29" s="4">
        <f t="shared" si="3"/>
        <v>2690</v>
      </c>
      <c r="T29" s="4">
        <f t="shared" si="3"/>
        <v>3228</v>
      </c>
    </row>
    <row r="30" spans="1:20" x14ac:dyDescent="0.3">
      <c r="A30" s="124"/>
      <c r="B30" s="2" t="s">
        <v>15</v>
      </c>
      <c r="C30" s="14">
        <f t="shared" si="1"/>
        <v>3498</v>
      </c>
      <c r="D30" s="55">
        <f>S32</f>
        <v>4371</v>
      </c>
      <c r="E30" s="29">
        <f>5+6+2</f>
        <v>13</v>
      </c>
      <c r="F30" s="29">
        <f>5+3+2</f>
        <v>10</v>
      </c>
      <c r="G30" s="29">
        <f>5+5+2</f>
        <v>12</v>
      </c>
      <c r="H30" s="29">
        <f>5+2+2</f>
        <v>9</v>
      </c>
      <c r="I30" s="29">
        <f>5+1+2</f>
        <v>8</v>
      </c>
      <c r="J30" s="29">
        <f>5+4+2</f>
        <v>11</v>
      </c>
      <c r="K30" s="16"/>
      <c r="O30" s="5">
        <v>4</v>
      </c>
      <c r="Q30" s="4">
        <f t="shared" si="3"/>
        <v>1950</v>
      </c>
      <c r="R30" s="4">
        <f t="shared" si="3"/>
        <v>2600</v>
      </c>
      <c r="S30" s="4">
        <f t="shared" si="3"/>
        <v>3250</v>
      </c>
      <c r="T30" s="4">
        <f t="shared" si="3"/>
        <v>3900</v>
      </c>
    </row>
    <row r="31" spans="1:20" ht="12.5" thickBot="1" x14ac:dyDescent="0.35">
      <c r="A31" s="125"/>
      <c r="B31" s="11" t="s">
        <v>16</v>
      </c>
      <c r="C31" s="15">
        <f t="shared" si="1"/>
        <v>4372</v>
      </c>
      <c r="D31" s="56">
        <f>T32</f>
        <v>5245</v>
      </c>
      <c r="E31" s="31">
        <f>5+6+1</f>
        <v>12</v>
      </c>
      <c r="F31" s="31">
        <f>5+3+1</f>
        <v>9</v>
      </c>
      <c r="G31" s="31">
        <f>5+5+1</f>
        <v>11</v>
      </c>
      <c r="H31" s="31">
        <f>5+2+1</f>
        <v>8</v>
      </c>
      <c r="I31" s="31">
        <f>5+1+1</f>
        <v>7</v>
      </c>
      <c r="J31" s="31">
        <f>5+4+1</f>
        <v>10</v>
      </c>
      <c r="K31" s="17"/>
      <c r="O31" s="5">
        <v>5</v>
      </c>
      <c r="Q31" s="4">
        <f t="shared" si="3"/>
        <v>2287</v>
      </c>
      <c r="R31" s="4">
        <f t="shared" si="3"/>
        <v>3049</v>
      </c>
      <c r="S31" s="4">
        <f t="shared" si="3"/>
        <v>3811</v>
      </c>
      <c r="T31" s="4">
        <f t="shared" si="3"/>
        <v>4573</v>
      </c>
    </row>
    <row r="32" spans="1:20" ht="12.5" thickBot="1" x14ac:dyDescent="0.35">
      <c r="C32" s="12"/>
      <c r="D32" s="57"/>
      <c r="O32" s="5">
        <v>6</v>
      </c>
      <c r="Q32" s="4">
        <f t="shared" si="3"/>
        <v>2623</v>
      </c>
      <c r="R32" s="4">
        <f t="shared" si="3"/>
        <v>3497</v>
      </c>
      <c r="S32" s="4">
        <f t="shared" si="3"/>
        <v>4371</v>
      </c>
      <c r="T32" s="4">
        <f t="shared" si="3"/>
        <v>5245</v>
      </c>
    </row>
    <row r="33" spans="1:20" x14ac:dyDescent="0.3">
      <c r="A33" s="123">
        <v>7</v>
      </c>
      <c r="B33" s="10" t="s">
        <v>13</v>
      </c>
      <c r="C33" s="13">
        <v>0</v>
      </c>
      <c r="D33" s="58">
        <f>Q33</f>
        <v>2959</v>
      </c>
      <c r="E33" s="27">
        <f>5+6+4</f>
        <v>15</v>
      </c>
      <c r="F33" s="27">
        <f>5+3+4</f>
        <v>12</v>
      </c>
      <c r="G33" s="27">
        <f>5+5+4</f>
        <v>14</v>
      </c>
      <c r="H33" s="27">
        <f>5+2+4</f>
        <v>11</v>
      </c>
      <c r="I33" s="27">
        <f>5+1+4</f>
        <v>10</v>
      </c>
      <c r="J33" s="27">
        <f>5+4+4</f>
        <v>13</v>
      </c>
      <c r="K33" s="18"/>
      <c r="O33" s="5">
        <v>7</v>
      </c>
      <c r="Q33" s="4">
        <f t="shared" si="3"/>
        <v>2959</v>
      </c>
      <c r="R33" s="4">
        <f t="shared" si="3"/>
        <v>3945</v>
      </c>
      <c r="S33" s="4">
        <f t="shared" si="3"/>
        <v>4932</v>
      </c>
      <c r="T33" s="4">
        <f t="shared" si="3"/>
        <v>5918</v>
      </c>
    </row>
    <row r="34" spans="1:20" x14ac:dyDescent="0.3">
      <c r="A34" s="124"/>
      <c r="B34" s="2" t="s">
        <v>14</v>
      </c>
      <c r="C34" s="14">
        <f t="shared" si="1"/>
        <v>2960</v>
      </c>
      <c r="D34" s="55">
        <f>R33</f>
        <v>3945</v>
      </c>
      <c r="E34" s="29">
        <f>5+6+3</f>
        <v>14</v>
      </c>
      <c r="F34" s="29">
        <f>5+3+3</f>
        <v>11</v>
      </c>
      <c r="G34" s="29">
        <f>5+5+3</f>
        <v>13</v>
      </c>
      <c r="H34" s="29">
        <f>5+2+3</f>
        <v>10</v>
      </c>
      <c r="I34" s="29">
        <f>5+1+3</f>
        <v>9</v>
      </c>
      <c r="J34" s="29">
        <f>5+4+3</f>
        <v>12</v>
      </c>
      <c r="K34" s="16"/>
      <c r="O34" s="5">
        <v>8</v>
      </c>
      <c r="Q34" s="4">
        <f t="shared" si="3"/>
        <v>3295</v>
      </c>
      <c r="R34" s="4">
        <f t="shared" si="3"/>
        <v>4394</v>
      </c>
      <c r="S34" s="4">
        <f t="shared" si="3"/>
        <v>5492</v>
      </c>
      <c r="T34" s="4">
        <f t="shared" si="3"/>
        <v>6590</v>
      </c>
    </row>
    <row r="35" spans="1:20" x14ac:dyDescent="0.3">
      <c r="A35" s="124"/>
      <c r="B35" s="2" t="s">
        <v>15</v>
      </c>
      <c r="C35" s="14">
        <f t="shared" si="1"/>
        <v>3946</v>
      </c>
      <c r="D35" s="55">
        <f>S33</f>
        <v>4932</v>
      </c>
      <c r="E35" s="29">
        <f>5+6+2</f>
        <v>13</v>
      </c>
      <c r="F35" s="29">
        <f>5+3+2</f>
        <v>10</v>
      </c>
      <c r="G35" s="29">
        <f>5+5+2</f>
        <v>12</v>
      </c>
      <c r="H35" s="29">
        <f>5+2+2</f>
        <v>9</v>
      </c>
      <c r="I35" s="29">
        <f>5+1+2</f>
        <v>8</v>
      </c>
      <c r="J35" s="29">
        <f>5+4+2</f>
        <v>11</v>
      </c>
      <c r="K35" s="16"/>
      <c r="O35" s="5">
        <v>9</v>
      </c>
      <c r="Q35" s="4">
        <f t="shared" si="3"/>
        <v>3632</v>
      </c>
      <c r="R35" s="4">
        <f t="shared" si="3"/>
        <v>4842</v>
      </c>
      <c r="S35" s="4">
        <f t="shared" si="3"/>
        <v>6053</v>
      </c>
      <c r="T35" s="4">
        <f t="shared" si="3"/>
        <v>7263</v>
      </c>
    </row>
    <row r="36" spans="1:20" ht="12.5" thickBot="1" x14ac:dyDescent="0.35">
      <c r="A36" s="125"/>
      <c r="B36" s="11" t="s">
        <v>16</v>
      </c>
      <c r="C36" s="15">
        <f t="shared" si="1"/>
        <v>4933</v>
      </c>
      <c r="D36" s="56">
        <f>T33</f>
        <v>5918</v>
      </c>
      <c r="E36" s="31">
        <f>5+6+1</f>
        <v>12</v>
      </c>
      <c r="F36" s="31">
        <f>5+3+1</f>
        <v>9</v>
      </c>
      <c r="G36" s="31">
        <f>5+5+1</f>
        <v>11</v>
      </c>
      <c r="H36" s="31">
        <f>5+2+1</f>
        <v>8</v>
      </c>
      <c r="I36" s="31">
        <f>5+1+1</f>
        <v>7</v>
      </c>
      <c r="J36" s="31">
        <f>5+4+1</f>
        <v>10</v>
      </c>
      <c r="K36" s="17"/>
      <c r="O36" s="5">
        <v>10</v>
      </c>
      <c r="Q36" s="4">
        <f t="shared" si="3"/>
        <v>3968</v>
      </c>
      <c r="R36" s="4">
        <f t="shared" si="3"/>
        <v>5290</v>
      </c>
      <c r="S36" s="4">
        <f t="shared" si="3"/>
        <v>6613</v>
      </c>
      <c r="T36" s="4">
        <f t="shared" si="3"/>
        <v>7935</v>
      </c>
    </row>
    <row r="37" spans="1:20" ht="12.5" thickBot="1" x14ac:dyDescent="0.35">
      <c r="C37" s="12"/>
      <c r="D37" s="57"/>
      <c r="O37" s="5">
        <v>11</v>
      </c>
      <c r="Q37" s="4">
        <f t="shared" si="3"/>
        <v>4304</v>
      </c>
      <c r="R37" s="4">
        <f t="shared" si="3"/>
        <v>5739</v>
      </c>
      <c r="S37" s="4">
        <f t="shared" si="3"/>
        <v>7173</v>
      </c>
      <c r="T37" s="4">
        <f t="shared" si="3"/>
        <v>8608</v>
      </c>
    </row>
    <row r="38" spans="1:20" x14ac:dyDescent="0.3">
      <c r="A38" s="123">
        <v>8</v>
      </c>
      <c r="B38" s="10" t="s">
        <v>13</v>
      </c>
      <c r="C38" s="13">
        <v>0</v>
      </c>
      <c r="D38" s="58">
        <f>Q34</f>
        <v>3295</v>
      </c>
      <c r="E38" s="27">
        <f>5+6+4</f>
        <v>15</v>
      </c>
      <c r="F38" s="27">
        <f>5+3+4</f>
        <v>12</v>
      </c>
      <c r="G38" s="27">
        <f>5+5+4</f>
        <v>14</v>
      </c>
      <c r="H38" s="27">
        <f>5+2+4</f>
        <v>11</v>
      </c>
      <c r="I38" s="27">
        <f>5+1+4</f>
        <v>10</v>
      </c>
      <c r="J38" s="27">
        <f>5+4+4</f>
        <v>13</v>
      </c>
      <c r="K38" s="18"/>
      <c r="O38" s="5">
        <v>12</v>
      </c>
      <c r="Q38" s="4">
        <f t="shared" si="3"/>
        <v>4640</v>
      </c>
      <c r="R38" s="4">
        <f t="shared" si="3"/>
        <v>6187</v>
      </c>
      <c r="S38" s="4">
        <f t="shared" si="3"/>
        <v>7734</v>
      </c>
      <c r="T38" s="4">
        <f t="shared" si="3"/>
        <v>9280</v>
      </c>
    </row>
    <row r="39" spans="1:20" x14ac:dyDescent="0.3">
      <c r="A39" s="124"/>
      <c r="B39" s="2" t="s">
        <v>14</v>
      </c>
      <c r="C39" s="14">
        <f t="shared" si="1"/>
        <v>3296</v>
      </c>
      <c r="D39" s="55">
        <f>R34</f>
        <v>4394</v>
      </c>
      <c r="E39" s="29">
        <f>5+6+3</f>
        <v>14</v>
      </c>
      <c r="F39" s="29">
        <f>5+3+3</f>
        <v>11</v>
      </c>
      <c r="G39" s="29">
        <f>5+5+3</f>
        <v>13</v>
      </c>
      <c r="H39" s="29">
        <f>5+2+3</f>
        <v>10</v>
      </c>
      <c r="I39" s="29">
        <f>5+1+3</f>
        <v>9</v>
      </c>
      <c r="J39" s="29">
        <f>5+4+3</f>
        <v>12</v>
      </c>
      <c r="K39" s="16"/>
      <c r="O39" s="5">
        <v>13</v>
      </c>
      <c r="Q39" s="4">
        <f t="shared" si="3"/>
        <v>4977</v>
      </c>
      <c r="R39" s="4">
        <f t="shared" si="3"/>
        <v>6635</v>
      </c>
      <c r="S39" s="4">
        <f t="shared" si="3"/>
        <v>8294</v>
      </c>
      <c r="T39" s="4">
        <f t="shared" si="3"/>
        <v>9953</v>
      </c>
    </row>
    <row r="40" spans="1:20" x14ac:dyDescent="0.3">
      <c r="A40" s="124"/>
      <c r="B40" s="2" t="s">
        <v>15</v>
      </c>
      <c r="C40" s="14">
        <f t="shared" si="1"/>
        <v>4395</v>
      </c>
      <c r="D40" s="55">
        <f>S34</f>
        <v>5492</v>
      </c>
      <c r="E40" s="29">
        <f>5+6+2</f>
        <v>13</v>
      </c>
      <c r="F40" s="29">
        <f>5+3+2</f>
        <v>10</v>
      </c>
      <c r="G40" s="29">
        <f>5+5+2</f>
        <v>12</v>
      </c>
      <c r="H40" s="29">
        <f>5+2+2</f>
        <v>9</v>
      </c>
      <c r="I40" s="29">
        <f>5+1+2</f>
        <v>8</v>
      </c>
      <c r="J40" s="29">
        <f>5+4+2</f>
        <v>11</v>
      </c>
      <c r="K40" s="16"/>
      <c r="O40" s="5">
        <v>14</v>
      </c>
      <c r="Q40" s="4">
        <f t="shared" si="3"/>
        <v>5313</v>
      </c>
      <c r="R40" s="4">
        <f t="shared" si="3"/>
        <v>7084</v>
      </c>
      <c r="S40" s="4">
        <f t="shared" si="3"/>
        <v>8855</v>
      </c>
      <c r="T40" s="4">
        <f t="shared" si="3"/>
        <v>10625</v>
      </c>
    </row>
    <row r="41" spans="1:20" ht="12.5" thickBot="1" x14ac:dyDescent="0.35">
      <c r="A41" s="125"/>
      <c r="B41" s="11" t="s">
        <v>16</v>
      </c>
      <c r="C41" s="15">
        <f t="shared" si="1"/>
        <v>5493</v>
      </c>
      <c r="D41" s="56">
        <f>T34</f>
        <v>6590</v>
      </c>
      <c r="E41" s="31">
        <f>5+6+1</f>
        <v>12</v>
      </c>
      <c r="F41" s="31">
        <f>5+3+1</f>
        <v>9</v>
      </c>
      <c r="G41" s="31">
        <f>5+5+1</f>
        <v>11</v>
      </c>
      <c r="H41" s="31">
        <f>5+2+1</f>
        <v>8</v>
      </c>
      <c r="I41" s="31">
        <f>5+1+1</f>
        <v>7</v>
      </c>
      <c r="J41" s="31">
        <f>5+4+1</f>
        <v>10</v>
      </c>
      <c r="K41" s="17"/>
    </row>
  </sheetData>
  <mergeCells count="11">
    <mergeCell ref="E1:J1"/>
    <mergeCell ref="A28:A31"/>
    <mergeCell ref="A33:A36"/>
    <mergeCell ref="A38:A41"/>
    <mergeCell ref="C2:D2"/>
    <mergeCell ref="A3:A6"/>
    <mergeCell ref="A8:A11"/>
    <mergeCell ref="A13:A16"/>
    <mergeCell ref="A18:A21"/>
    <mergeCell ref="A23:A26"/>
    <mergeCell ref="A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12E99-A0C1-4970-B9D8-81DC4DE4DC7A}">
  <sheetPr>
    <tabColor rgb="FFFFFF00"/>
  </sheetPr>
  <dimension ref="A1:AB90"/>
  <sheetViews>
    <sheetView tabSelected="1" workbookViewId="0">
      <selection activeCell="H24" sqref="H24"/>
    </sheetView>
    <sheetView topLeftCell="A40" workbookViewId="1">
      <selection activeCell="Q52" sqref="Q52:Q55"/>
    </sheetView>
  </sheetViews>
  <sheetFormatPr defaultColWidth="8.81640625" defaultRowHeight="12" x14ac:dyDescent="0.3"/>
  <cols>
    <col min="1" max="2" width="9.453125" style="2" customWidth="1"/>
    <col min="3" max="3" width="10.1796875" style="4" customWidth="1"/>
    <col min="4" max="5" width="8.81640625" style="2"/>
    <col min="6" max="6" width="11.1796875" style="2" customWidth="1"/>
    <col min="7" max="11" width="8.81640625" style="2"/>
    <col min="12" max="12" width="8.81640625" style="2" customWidth="1"/>
    <col min="13" max="15" width="8.81640625" style="2"/>
    <col min="16" max="16" width="0" style="2" hidden="1" customWidth="1"/>
    <col min="17" max="16384" width="8.81640625" style="2"/>
  </cols>
  <sheetData>
    <row r="1" spans="1:28" ht="26.65" customHeight="1" x14ac:dyDescent="0.45">
      <c r="A1" s="130" t="s">
        <v>20</v>
      </c>
      <c r="B1" s="131"/>
      <c r="C1" s="131"/>
      <c r="D1" s="131"/>
      <c r="E1" s="131"/>
      <c r="F1" s="131"/>
      <c r="G1" s="131"/>
      <c r="H1" s="131"/>
      <c r="I1" s="131"/>
      <c r="J1" s="131"/>
      <c r="K1" s="131"/>
    </row>
    <row r="2" spans="1:28" ht="14.65" customHeight="1" x14ac:dyDescent="0.45">
      <c r="A2" s="69"/>
      <c r="B2" s="68"/>
      <c r="C2" s="102"/>
      <c r="D2" s="68"/>
      <c r="E2" s="68"/>
      <c r="F2" s="68"/>
      <c r="G2" s="68"/>
      <c r="H2" s="68"/>
      <c r="I2" s="68"/>
      <c r="J2" s="68"/>
      <c r="K2" s="68"/>
    </row>
    <row r="3" spans="1:28" s="71" customFormat="1" ht="15.5" x14ac:dyDescent="0.35">
      <c r="A3" s="132" t="s">
        <v>0</v>
      </c>
      <c r="B3" s="133"/>
      <c r="C3" s="133"/>
      <c r="D3" s="134"/>
      <c r="E3" s="132" t="s">
        <v>1</v>
      </c>
      <c r="F3" s="133"/>
      <c r="G3" s="133"/>
      <c r="H3" s="133"/>
      <c r="I3" s="133"/>
      <c r="J3" s="134"/>
      <c r="K3" s="70" t="s">
        <v>2</v>
      </c>
    </row>
    <row r="4" spans="1:28" s="1" customFormat="1" ht="24.5" thickBot="1" x14ac:dyDescent="0.35">
      <c r="A4" s="60" t="s">
        <v>3</v>
      </c>
      <c r="B4" s="60"/>
      <c r="C4" s="135" t="s">
        <v>4</v>
      </c>
      <c r="D4" s="135"/>
      <c r="E4" s="61" t="s">
        <v>5</v>
      </c>
      <c r="F4" s="61" t="s">
        <v>6</v>
      </c>
      <c r="G4" s="61" t="s">
        <v>7</v>
      </c>
      <c r="H4" s="61" t="s">
        <v>8</v>
      </c>
      <c r="I4" s="61" t="s">
        <v>9</v>
      </c>
      <c r="J4" s="61" t="s">
        <v>10</v>
      </c>
      <c r="K4" s="62" t="s">
        <v>11</v>
      </c>
    </row>
    <row r="5" spans="1:28" x14ac:dyDescent="0.3">
      <c r="A5" s="136">
        <v>1</v>
      </c>
      <c r="B5" s="74" t="s">
        <v>13</v>
      </c>
      <c r="C5" s="103">
        <v>0</v>
      </c>
      <c r="D5" s="80">
        <f>Q29</f>
        <v>979</v>
      </c>
      <c r="E5" s="83">
        <f>ROUNDUP('Subsidy points'!E3*L5,0)</f>
        <v>184</v>
      </c>
      <c r="F5" s="83">
        <f>ROUNDUP('Subsidy points'!F3*L5,0)</f>
        <v>134</v>
      </c>
      <c r="G5" s="83">
        <f>ROUNDUP('Subsidy points'!G3*L5,0)</f>
        <v>167</v>
      </c>
      <c r="H5" s="83">
        <f>ROUNDUP('Subsidy points'!H3*L5,0)</f>
        <v>117</v>
      </c>
      <c r="I5" s="83">
        <f>ROUNDUP('Subsidy points'!I3*L5,0)</f>
        <v>100</v>
      </c>
      <c r="J5" s="83">
        <f>ROUNDUP('Subsidy points'!J3*L5,0)</f>
        <v>150</v>
      </c>
      <c r="K5" s="83">
        <v>184</v>
      </c>
      <c r="L5" s="2">
        <v>16.66</v>
      </c>
      <c r="N5" s="2" t="s">
        <v>21</v>
      </c>
      <c r="U5" s="2">
        <f>0.75*1255</f>
        <v>941.25</v>
      </c>
    </row>
    <row r="6" spans="1:28" x14ac:dyDescent="0.3">
      <c r="A6" s="137"/>
      <c r="B6" s="75" t="s">
        <v>53</v>
      </c>
      <c r="C6" s="104">
        <f>D5+0.01</f>
        <v>979.01</v>
      </c>
      <c r="D6" s="81">
        <f>R29</f>
        <v>1305</v>
      </c>
      <c r="E6" s="84">
        <f>ROUNDUP('Subsidy points'!E4*L6,0)</f>
        <v>167</v>
      </c>
      <c r="F6" s="84">
        <f>ROUNDUP('Subsidy points'!F4*L6,0)</f>
        <v>117</v>
      </c>
      <c r="G6" s="84">
        <f>ROUNDUP('Subsidy points'!G4*L6,0)</f>
        <v>150</v>
      </c>
      <c r="H6" s="84">
        <f>ROUNDUP('Subsidy points'!H4*L6,0)</f>
        <v>100</v>
      </c>
      <c r="I6" s="84">
        <f>ROUNDUP('Subsidy points'!I4*L6,0)</f>
        <v>84</v>
      </c>
      <c r="J6" s="84">
        <f>ROUNDUP('Subsidy points'!J4*L6,0)</f>
        <v>134</v>
      </c>
      <c r="K6" s="84">
        <v>167</v>
      </c>
      <c r="L6" s="2">
        <v>16.66</v>
      </c>
    </row>
    <row r="7" spans="1:28" x14ac:dyDescent="0.3">
      <c r="A7" s="137"/>
      <c r="B7" s="75" t="s">
        <v>54</v>
      </c>
      <c r="C7" s="104">
        <f>D6+0.01</f>
        <v>1305.01</v>
      </c>
      <c r="D7" s="81">
        <f>S29</f>
        <v>1631</v>
      </c>
      <c r="E7" s="84">
        <f>ROUNDUP('Subsidy points'!E5*L7,0)</f>
        <v>150</v>
      </c>
      <c r="F7" s="84">
        <f>ROUNDUP('Subsidy points'!F5*L7,0)</f>
        <v>100</v>
      </c>
      <c r="G7" s="84">
        <f>ROUNDUP('Subsidy points'!G5*L7,0)</f>
        <v>134</v>
      </c>
      <c r="H7" s="84">
        <f>ROUNDUP('Subsidy points'!H5*L7,0)</f>
        <v>84</v>
      </c>
      <c r="I7" s="84">
        <f>ROUNDUP('Subsidy points'!I5*L7,0)</f>
        <v>67</v>
      </c>
      <c r="J7" s="84">
        <f>ROUNDUP('Subsidy points'!J5*L7,0)</f>
        <v>117</v>
      </c>
      <c r="K7" s="84">
        <v>150</v>
      </c>
      <c r="L7" s="2">
        <v>16.66</v>
      </c>
    </row>
    <row r="8" spans="1:28" ht="12.5" thickBot="1" x14ac:dyDescent="0.35">
      <c r="A8" s="138"/>
      <c r="B8" s="76" t="s">
        <v>55</v>
      </c>
      <c r="C8" s="105">
        <f>D7+0.01</f>
        <v>1631.01</v>
      </c>
      <c r="D8" s="82">
        <f>T29</f>
        <v>1957</v>
      </c>
      <c r="E8" s="85">
        <f>ROUNDUP('Subsidy points'!E6*L8,0)</f>
        <v>134</v>
      </c>
      <c r="F8" s="85">
        <f>ROUNDUP('Subsidy points'!F6*L8,0)</f>
        <v>84</v>
      </c>
      <c r="G8" s="85">
        <f>ROUNDUP('Subsidy points'!G6*L8,0)</f>
        <v>117</v>
      </c>
      <c r="H8" s="85">
        <f>ROUNDUP('Subsidy points'!H6*L8,0)</f>
        <v>67</v>
      </c>
      <c r="I8" s="85">
        <f>ROUNDUP('Subsidy points'!I6*L8,0)</f>
        <v>50</v>
      </c>
      <c r="J8" s="85">
        <f>ROUNDUP('Subsidy points'!J6*L8,0)</f>
        <v>100</v>
      </c>
      <c r="K8" s="85">
        <v>134</v>
      </c>
      <c r="L8" s="2">
        <v>16.66</v>
      </c>
      <c r="O8" s="3"/>
      <c r="P8" s="3"/>
    </row>
    <row r="9" spans="1:28" ht="12.5" thickBot="1" x14ac:dyDescent="0.35">
      <c r="A9" s="65"/>
      <c r="B9" s="66"/>
      <c r="C9" s="106"/>
      <c r="D9" s="67"/>
      <c r="E9" s="65"/>
      <c r="F9" s="65"/>
      <c r="G9" s="65"/>
      <c r="H9" s="65"/>
      <c r="I9" s="65"/>
      <c r="J9" s="65"/>
      <c r="K9" s="65"/>
      <c r="L9" s="2" t="s">
        <v>22</v>
      </c>
    </row>
    <row r="10" spans="1:28" ht="21" x14ac:dyDescent="0.3">
      <c r="A10" s="127">
        <v>2</v>
      </c>
      <c r="B10" s="86" t="s">
        <v>13</v>
      </c>
      <c r="C10" s="103">
        <v>0</v>
      </c>
      <c r="D10" s="80">
        <f>Q30</f>
        <v>1322</v>
      </c>
      <c r="E10" s="89">
        <f>ROUNDUP('Subsidy points'!E8*L5,0)</f>
        <v>200</v>
      </c>
      <c r="F10" s="83">
        <f>ROUNDUP('Subsidy points'!F8*L5,0)</f>
        <v>150</v>
      </c>
      <c r="G10" s="83">
        <f>ROUNDUP('Subsidy points'!G8*L5,0)</f>
        <v>184</v>
      </c>
      <c r="H10" s="83">
        <f>ROUNDUP('Subsidy points'!H8*L5,0)</f>
        <v>117</v>
      </c>
      <c r="I10" s="83">
        <f>ROUNDUP('Subsidy points'!I8*L5,0)</f>
        <v>117</v>
      </c>
      <c r="J10" s="83">
        <f>ROUNDUP('Subsidy points'!J8*L5,0)</f>
        <v>167</v>
      </c>
      <c r="K10" s="83">
        <v>200</v>
      </c>
      <c r="L10" s="2">
        <v>16.66</v>
      </c>
      <c r="M10" s="51"/>
      <c r="O10" s="6" t="s">
        <v>17</v>
      </c>
      <c r="P10" s="7">
        <v>1</v>
      </c>
      <c r="Q10" s="7">
        <v>0.75</v>
      </c>
      <c r="R10" s="7">
        <v>1</v>
      </c>
      <c r="S10" s="7">
        <v>1.25</v>
      </c>
      <c r="T10" s="7">
        <v>1.5</v>
      </c>
      <c r="W10" s="95" t="s">
        <v>23</v>
      </c>
      <c r="X10" s="139">
        <v>0.75</v>
      </c>
      <c r="Y10" s="139">
        <v>1</v>
      </c>
      <c r="Z10" s="139">
        <v>1.25</v>
      </c>
      <c r="AA10" s="139">
        <v>1.5</v>
      </c>
    </row>
    <row r="11" spans="1:28" x14ac:dyDescent="0.3">
      <c r="A11" s="128"/>
      <c r="B11" s="87" t="s">
        <v>53</v>
      </c>
      <c r="C11" s="104">
        <f>D10+0.01</f>
        <v>1322.01</v>
      </c>
      <c r="D11" s="81">
        <f>R30</f>
        <v>1763</v>
      </c>
      <c r="E11" s="90">
        <f>ROUNDUP('Subsidy points'!E9*L6,0)</f>
        <v>184</v>
      </c>
      <c r="F11" s="84">
        <f>ROUNDUP('Subsidy points'!F9*L6,0)</f>
        <v>134</v>
      </c>
      <c r="G11" s="84">
        <f>ROUNDUP('Subsidy points'!G9*L6,0)</f>
        <v>167</v>
      </c>
      <c r="H11" s="84">
        <f>ROUNDUP('Subsidy points'!H9*L6,0)</f>
        <v>100</v>
      </c>
      <c r="I11" s="84">
        <f>ROUNDUP('Subsidy points'!I9*L6,0)</f>
        <v>100</v>
      </c>
      <c r="J11" s="84">
        <f>ROUNDUP('Subsidy points'!J9*L6,0)</f>
        <v>150</v>
      </c>
      <c r="K11" s="84">
        <v>184</v>
      </c>
      <c r="L11" s="2">
        <v>16.66</v>
      </c>
      <c r="O11" s="5">
        <v>1</v>
      </c>
      <c r="P11" s="4">
        <v>1255</v>
      </c>
      <c r="Q11" s="4">
        <v>978.125</v>
      </c>
      <c r="R11" s="4">
        <v>1304.1666666666667</v>
      </c>
      <c r="S11" s="4">
        <v>1630.2083333333333</v>
      </c>
      <c r="T11" s="4">
        <v>1956.25</v>
      </c>
      <c r="W11" s="95" t="s">
        <v>24</v>
      </c>
      <c r="X11" s="140"/>
      <c r="Y11" s="140"/>
      <c r="Z11" s="140"/>
      <c r="AA11" s="140"/>
    </row>
    <row r="12" spans="1:28" x14ac:dyDescent="0.3">
      <c r="A12" s="128"/>
      <c r="B12" s="87" t="s">
        <v>54</v>
      </c>
      <c r="C12" s="104">
        <f>D11+0.01</f>
        <v>1763.01</v>
      </c>
      <c r="D12" s="81">
        <f>S30</f>
        <v>2204</v>
      </c>
      <c r="E12" s="90">
        <f>ROUNDUP('Subsidy points'!E10*L7,0)</f>
        <v>167</v>
      </c>
      <c r="F12" s="84">
        <f>ROUNDUP('Subsidy points'!F10*L7,0)</f>
        <v>117</v>
      </c>
      <c r="G12" s="84">
        <f>ROUNDUP('Subsidy points'!G10*L7,0)</f>
        <v>150</v>
      </c>
      <c r="H12" s="84">
        <f>ROUNDUP('Subsidy points'!H10*L7,0)</f>
        <v>84</v>
      </c>
      <c r="I12" s="84">
        <f>ROUNDUP('Subsidy points'!I10*L7,0)</f>
        <v>84</v>
      </c>
      <c r="J12" s="84">
        <f>ROUNDUP('Subsidy points'!J10*L7,0)</f>
        <v>134</v>
      </c>
      <c r="K12" s="84">
        <v>167</v>
      </c>
      <c r="L12" s="2">
        <v>16.66</v>
      </c>
      <c r="O12" s="5">
        <v>2</v>
      </c>
      <c r="P12" s="4">
        <v>1703.3333333333333</v>
      </c>
      <c r="Q12" s="4">
        <v>1321.875</v>
      </c>
      <c r="R12" s="4">
        <v>1762.5</v>
      </c>
      <c r="S12" s="4">
        <v>2203.125</v>
      </c>
      <c r="T12" s="4">
        <v>2643.75</v>
      </c>
      <c r="W12" s="5">
        <v>1</v>
      </c>
      <c r="X12" s="96">
        <v>941.25</v>
      </c>
      <c r="Y12" s="97">
        <v>1255</v>
      </c>
      <c r="Z12" s="98">
        <v>1568.75</v>
      </c>
      <c r="AA12" s="98">
        <v>1882.5</v>
      </c>
      <c r="AB12" s="2" t="str">
        <f>IF(Z12=S11,"yes","no")</f>
        <v>no</v>
      </c>
    </row>
    <row r="13" spans="1:28" ht="12.5" thickBot="1" x14ac:dyDescent="0.35">
      <c r="A13" s="129"/>
      <c r="B13" s="88" t="s">
        <v>55</v>
      </c>
      <c r="C13" s="105">
        <f>D12+0.01</f>
        <v>2204.0100000000002</v>
      </c>
      <c r="D13" s="82">
        <f>T30</f>
        <v>2644</v>
      </c>
      <c r="E13" s="91">
        <f>ROUNDUP('Subsidy points'!E11*L8,0)</f>
        <v>150</v>
      </c>
      <c r="F13" s="85">
        <f>ROUNDUP('Subsidy points'!F11*L8,0)</f>
        <v>100</v>
      </c>
      <c r="G13" s="85">
        <f>ROUNDUP('Subsidy points'!G11*L8,0)</f>
        <v>134</v>
      </c>
      <c r="H13" s="85">
        <f>ROUNDUP('Subsidy points'!H11*L8,0)</f>
        <v>67</v>
      </c>
      <c r="I13" s="85">
        <f>ROUNDUP('Subsidy points'!I11*L8,0)</f>
        <v>67</v>
      </c>
      <c r="J13" s="85">
        <f>ROUNDUP('Subsidy points'!J11*L8,0)</f>
        <v>117</v>
      </c>
      <c r="K13" s="85">
        <v>150</v>
      </c>
      <c r="L13" s="2">
        <v>16.66</v>
      </c>
      <c r="O13" s="5">
        <v>3</v>
      </c>
      <c r="P13" s="4">
        <v>2151.6666666666665</v>
      </c>
      <c r="Q13" s="4">
        <v>1665.625</v>
      </c>
      <c r="R13" s="4">
        <v>2220.8333333333335</v>
      </c>
      <c r="S13" s="4">
        <v>2776.0416666666665</v>
      </c>
      <c r="T13" s="4">
        <v>3331.25</v>
      </c>
      <c r="W13" s="5">
        <v>2</v>
      </c>
      <c r="X13" s="98">
        <v>1277.5</v>
      </c>
      <c r="Y13" s="97">
        <v>1703.33</v>
      </c>
      <c r="Z13" s="98">
        <v>2129.17</v>
      </c>
      <c r="AA13" s="98">
        <v>2555</v>
      </c>
      <c r="AB13" s="2" t="str">
        <f>IF(Z13=S13,"yes","no")</f>
        <v>no</v>
      </c>
    </row>
    <row r="14" spans="1:28" ht="12.5" thickBot="1" x14ac:dyDescent="0.35">
      <c r="A14" s="66"/>
      <c r="B14" s="66"/>
      <c r="C14" s="106"/>
      <c r="D14" s="67"/>
      <c r="E14" s="65"/>
      <c r="F14" s="65"/>
      <c r="G14" s="65"/>
      <c r="H14" s="65"/>
      <c r="I14" s="65"/>
      <c r="J14" s="65"/>
      <c r="K14" s="65"/>
      <c r="L14" s="2" t="s">
        <v>22</v>
      </c>
      <c r="O14" s="5">
        <v>4</v>
      </c>
      <c r="P14" s="4">
        <v>2600</v>
      </c>
      <c r="Q14" s="4">
        <v>2009.375</v>
      </c>
      <c r="R14" s="4">
        <v>2679.1666666666665</v>
      </c>
      <c r="S14" s="4">
        <v>3348.9583333333335</v>
      </c>
      <c r="T14" s="4">
        <v>4018.75</v>
      </c>
      <c r="W14" s="5">
        <v>3</v>
      </c>
      <c r="X14" s="98">
        <v>1613.75</v>
      </c>
      <c r="Y14" s="97">
        <v>2151.67</v>
      </c>
      <c r="Z14" s="101">
        <v>2689.58</v>
      </c>
      <c r="AA14" s="101">
        <v>3227.5</v>
      </c>
      <c r="AB14" s="2" t="str">
        <f>IF(Z14=S14,"yes","no")</f>
        <v>no</v>
      </c>
    </row>
    <row r="15" spans="1:28" x14ac:dyDescent="0.3">
      <c r="A15" s="127">
        <v>3</v>
      </c>
      <c r="B15" s="86" t="s">
        <v>13</v>
      </c>
      <c r="C15" s="103">
        <v>0</v>
      </c>
      <c r="D15" s="80">
        <f>Q31</f>
        <v>1666</v>
      </c>
      <c r="E15" s="83">
        <f>ROUNDUP('Subsidy points'!E13*L15,0)</f>
        <v>217</v>
      </c>
      <c r="F15" s="83">
        <f>ROUNDUP('Subsidy points'!F13*L15,0)</f>
        <v>167</v>
      </c>
      <c r="G15" s="83">
        <f>ROUNDUP('Subsidy points'!G13*L15,0)</f>
        <v>200</v>
      </c>
      <c r="H15" s="83">
        <f>ROUNDUP('Subsidy points'!H13*L15,0)</f>
        <v>150</v>
      </c>
      <c r="I15" s="83">
        <f>ROUNDUP('Subsidy points'!I13*L15,0)</f>
        <v>134</v>
      </c>
      <c r="J15" s="83">
        <f>ROUNDUP('Subsidy points'!J13*L15,0)</f>
        <v>184</v>
      </c>
      <c r="K15" s="83">
        <v>217</v>
      </c>
      <c r="L15" s="2">
        <v>16.66</v>
      </c>
      <c r="O15" s="5">
        <v>5</v>
      </c>
      <c r="P15" s="4">
        <v>3048.3333333333335</v>
      </c>
      <c r="Q15" s="4">
        <v>2353.125</v>
      </c>
      <c r="R15" s="4">
        <v>3137.5</v>
      </c>
      <c r="S15" s="4">
        <v>3921.875</v>
      </c>
      <c r="T15" s="4">
        <v>4706.25</v>
      </c>
      <c r="W15" s="5">
        <v>4</v>
      </c>
      <c r="X15" s="98">
        <v>1950</v>
      </c>
      <c r="Y15" s="97">
        <v>2600</v>
      </c>
      <c r="Z15" s="101">
        <v>3250</v>
      </c>
      <c r="AA15" s="98">
        <v>3900</v>
      </c>
      <c r="AB15" s="2" t="str">
        <f>IF(Z15=S15,"yes","no")</f>
        <v>no</v>
      </c>
    </row>
    <row r="16" spans="1:28" x14ac:dyDescent="0.3">
      <c r="A16" s="128"/>
      <c r="B16" s="87" t="s">
        <v>53</v>
      </c>
      <c r="C16" s="104">
        <f>D15+0.01</f>
        <v>1666.01</v>
      </c>
      <c r="D16" s="81">
        <f>R31</f>
        <v>2221</v>
      </c>
      <c r="E16" s="84">
        <f>ROUNDUP('Subsidy points'!E14*L16,0)</f>
        <v>200</v>
      </c>
      <c r="F16" s="84">
        <f>ROUNDUP('Subsidy points'!F14*L16,0)</f>
        <v>150</v>
      </c>
      <c r="G16" s="84">
        <f>ROUNDUP('Subsidy points'!G14*L16,0)</f>
        <v>184</v>
      </c>
      <c r="H16" s="84">
        <f>ROUNDUP('Subsidy points'!H14*L16,0)</f>
        <v>134</v>
      </c>
      <c r="I16" s="84">
        <f>ROUNDUP('Subsidy points'!I14*L16,0)</f>
        <v>117</v>
      </c>
      <c r="J16" s="84">
        <f>ROUNDUP('Subsidy points'!J14*L16,0)</f>
        <v>167</v>
      </c>
      <c r="K16" s="84">
        <v>200</v>
      </c>
      <c r="L16" s="2">
        <v>16.66</v>
      </c>
      <c r="O16" s="5">
        <v>6</v>
      </c>
      <c r="P16" s="4">
        <v>3496.6666666666665</v>
      </c>
      <c r="Q16" s="4">
        <v>2696.875</v>
      </c>
      <c r="R16" s="4">
        <v>3595.8333333333335</v>
      </c>
      <c r="S16" s="4">
        <v>4494.791666666667</v>
      </c>
      <c r="T16" s="4">
        <v>5393.75</v>
      </c>
      <c r="V16" s="2" t="s">
        <v>22</v>
      </c>
      <c r="W16" s="5">
        <v>5</v>
      </c>
      <c r="X16" s="98">
        <v>2286.25</v>
      </c>
      <c r="Y16" s="97">
        <v>3048.33</v>
      </c>
      <c r="Z16" s="98">
        <v>3810.42</v>
      </c>
      <c r="AA16" s="98">
        <v>4572.5</v>
      </c>
      <c r="AB16" s="2" t="str">
        <f t="shared" ref="AB16:AB25" si="0">IF(Z16=S15,"yes","no")</f>
        <v>no</v>
      </c>
    </row>
    <row r="17" spans="1:28" x14ac:dyDescent="0.3">
      <c r="A17" s="128"/>
      <c r="B17" s="87" t="s">
        <v>54</v>
      </c>
      <c r="C17" s="104">
        <f>D16+0.01</f>
        <v>2221.0100000000002</v>
      </c>
      <c r="D17" s="81">
        <f>S31</f>
        <v>2777</v>
      </c>
      <c r="E17" s="84">
        <f>ROUNDUP('Subsidy points'!E15*L17,0)</f>
        <v>184</v>
      </c>
      <c r="F17" s="84">
        <f>ROUNDUP('Subsidy points'!F15*L17,0)</f>
        <v>134</v>
      </c>
      <c r="G17" s="84">
        <f>ROUNDUP('Subsidy points'!G15*L17,0)</f>
        <v>167</v>
      </c>
      <c r="H17" s="84">
        <f>ROUNDUP('Subsidy points'!H15*L17,0)</f>
        <v>117</v>
      </c>
      <c r="I17" s="84">
        <f>ROUNDUP('Subsidy points'!I15*L17,0)</f>
        <v>100</v>
      </c>
      <c r="J17" s="84">
        <f>ROUNDUP('Subsidy points'!J15*L17,0)</f>
        <v>150</v>
      </c>
      <c r="K17" s="84">
        <v>184</v>
      </c>
      <c r="L17" s="2">
        <v>16.66</v>
      </c>
      <c r="O17" s="5">
        <v>7</v>
      </c>
      <c r="P17" s="4">
        <v>3945</v>
      </c>
      <c r="Q17" s="4">
        <v>3040.625</v>
      </c>
      <c r="R17" s="4">
        <v>4054.1666666666665</v>
      </c>
      <c r="S17" s="4">
        <v>5067.708333333333</v>
      </c>
      <c r="T17" s="4">
        <v>6081.25</v>
      </c>
      <c r="W17" s="5">
        <v>6</v>
      </c>
      <c r="X17" s="98">
        <v>2622.5</v>
      </c>
      <c r="Y17" s="97">
        <v>3496.67</v>
      </c>
      <c r="Z17" s="98">
        <v>4370.83</v>
      </c>
      <c r="AA17" s="98">
        <v>5245</v>
      </c>
      <c r="AB17" s="2" t="str">
        <f t="shared" si="0"/>
        <v>no</v>
      </c>
    </row>
    <row r="18" spans="1:28" ht="12.5" thickBot="1" x14ac:dyDescent="0.35">
      <c r="A18" s="129"/>
      <c r="B18" s="88" t="s">
        <v>55</v>
      </c>
      <c r="C18" s="105">
        <f>D17+0.01</f>
        <v>2777.01</v>
      </c>
      <c r="D18" s="117">
        <f>T31</f>
        <v>3332</v>
      </c>
      <c r="E18" s="85">
        <f>ROUNDUP('Subsidy points'!E16*L18,0)</f>
        <v>167</v>
      </c>
      <c r="F18" s="85">
        <f>ROUNDUP('Subsidy points'!F16*L18,0)</f>
        <v>117</v>
      </c>
      <c r="G18" s="85">
        <f>ROUNDUP('Subsidy points'!G16*L18,0)</f>
        <v>150</v>
      </c>
      <c r="H18" s="85">
        <f>ROUNDUP('Subsidy points'!H16*L18,0)</f>
        <v>100</v>
      </c>
      <c r="I18" s="85">
        <f>ROUNDUP('Subsidy points'!I16*L18,0)</f>
        <v>84</v>
      </c>
      <c r="J18" s="85">
        <f>ROUNDUP('Subsidy points'!J16*L18,0)</f>
        <v>134</v>
      </c>
      <c r="K18" s="85">
        <v>167</v>
      </c>
      <c r="L18" s="2">
        <v>16.66</v>
      </c>
      <c r="O18" s="5">
        <v>8</v>
      </c>
      <c r="P18" s="4">
        <v>4393.333333333333</v>
      </c>
      <c r="Q18" s="4">
        <v>3384.375</v>
      </c>
      <c r="R18" s="4">
        <v>4512.5</v>
      </c>
      <c r="S18" s="4">
        <v>5640.625</v>
      </c>
      <c r="T18" s="4">
        <v>6768.75</v>
      </c>
      <c r="W18" s="5">
        <v>7</v>
      </c>
      <c r="X18" s="101">
        <v>2958.75</v>
      </c>
      <c r="Y18" s="97">
        <v>3945</v>
      </c>
      <c r="Z18" s="98">
        <v>4931.25</v>
      </c>
      <c r="AA18" s="98">
        <v>5917.5</v>
      </c>
      <c r="AB18" s="2" t="str">
        <f t="shared" si="0"/>
        <v>no</v>
      </c>
    </row>
    <row r="19" spans="1:28" ht="12.5" thickBot="1" x14ac:dyDescent="0.35">
      <c r="A19" s="66"/>
      <c r="B19" s="66"/>
      <c r="C19" s="106"/>
      <c r="D19" s="67"/>
      <c r="E19" s="65"/>
      <c r="F19" s="65"/>
      <c r="G19" s="65"/>
      <c r="H19" s="65"/>
      <c r="I19" s="65"/>
      <c r="J19" s="65"/>
      <c r="K19" s="65"/>
      <c r="L19" s="2" t="s">
        <v>22</v>
      </c>
      <c r="O19" s="5">
        <v>9</v>
      </c>
      <c r="P19" s="4">
        <v>4841.666666666667</v>
      </c>
      <c r="Q19" s="4">
        <v>3728.125</v>
      </c>
      <c r="R19" s="4">
        <v>4970.833333333333</v>
      </c>
      <c r="S19" s="4">
        <v>6213.541666666667</v>
      </c>
      <c r="T19" s="4">
        <v>7456.25</v>
      </c>
      <c r="W19" s="5">
        <v>8</v>
      </c>
      <c r="X19" s="101">
        <v>3295</v>
      </c>
      <c r="Y19" s="97">
        <v>4393.33</v>
      </c>
      <c r="Z19" s="98">
        <v>5491.67</v>
      </c>
      <c r="AA19" s="98">
        <v>6590</v>
      </c>
      <c r="AB19" s="2" t="str">
        <f t="shared" si="0"/>
        <v>no</v>
      </c>
    </row>
    <row r="20" spans="1:28" x14ac:dyDescent="0.3">
      <c r="A20" s="127">
        <v>4</v>
      </c>
      <c r="B20" s="86" t="s">
        <v>13</v>
      </c>
      <c r="C20" s="103">
        <v>0</v>
      </c>
      <c r="D20" s="80">
        <f>Q32</f>
        <v>2010</v>
      </c>
      <c r="E20" s="83">
        <f>ROUNDUP('Subsidy points'!E18*L20,0)</f>
        <v>234</v>
      </c>
      <c r="F20" s="83">
        <f>ROUNDUP('Subsidy points'!F18*L20,0)</f>
        <v>184</v>
      </c>
      <c r="G20" s="83">
        <f>ROUNDUP('Subsidy points'!G18*L20,0)</f>
        <v>217</v>
      </c>
      <c r="H20" s="83">
        <f>ROUNDUP('Subsidy points'!H18*L20,0)</f>
        <v>167</v>
      </c>
      <c r="I20" s="83">
        <f>ROUNDUP('Subsidy points'!I18*L20,0)</f>
        <v>150</v>
      </c>
      <c r="J20" s="83">
        <f>ROUNDUP('Subsidy points'!J18*L20,0)</f>
        <v>200</v>
      </c>
      <c r="K20" s="83">
        <v>234</v>
      </c>
      <c r="L20" s="2">
        <v>16.66</v>
      </c>
      <c r="O20" s="5">
        <v>10</v>
      </c>
      <c r="P20" s="4">
        <v>5290</v>
      </c>
      <c r="Q20" s="4">
        <v>4071.875</v>
      </c>
      <c r="R20" s="4">
        <v>5429.166666666667</v>
      </c>
      <c r="S20" s="4">
        <v>6786.458333333333</v>
      </c>
      <c r="T20" s="4">
        <v>8143.75</v>
      </c>
      <c r="W20" s="5">
        <v>9</v>
      </c>
      <c r="X20" s="98">
        <v>3631.25</v>
      </c>
      <c r="Y20" s="97">
        <v>4841.67</v>
      </c>
      <c r="Z20" s="98">
        <v>6052.08</v>
      </c>
      <c r="AA20" s="98">
        <v>7262.5</v>
      </c>
      <c r="AB20" s="2" t="str">
        <f t="shared" si="0"/>
        <v>no</v>
      </c>
    </row>
    <row r="21" spans="1:28" x14ac:dyDescent="0.3">
      <c r="A21" s="128"/>
      <c r="B21" s="87" t="s">
        <v>53</v>
      </c>
      <c r="C21" s="104">
        <f>D20+0.01</f>
        <v>2010.01</v>
      </c>
      <c r="D21" s="81">
        <f>R32</f>
        <v>2680</v>
      </c>
      <c r="E21" s="84">
        <f>ROUNDUP('Subsidy points'!E19*L21,0)</f>
        <v>217</v>
      </c>
      <c r="F21" s="84">
        <f>ROUNDUP('Subsidy points'!F19*L21,0)</f>
        <v>167</v>
      </c>
      <c r="G21" s="84">
        <f>ROUNDUP('Subsidy points'!G19*L21,0)</f>
        <v>200</v>
      </c>
      <c r="H21" s="84">
        <f>ROUNDUP('Subsidy points'!H19*L21,0)</f>
        <v>150</v>
      </c>
      <c r="I21" s="84">
        <f>ROUNDUP('Subsidy points'!I19*L21,0)</f>
        <v>134</v>
      </c>
      <c r="J21" s="84">
        <f>ROUNDUP('Subsidy points'!J19*L21,0)</f>
        <v>184</v>
      </c>
      <c r="K21" s="84">
        <v>217</v>
      </c>
      <c r="L21" s="2">
        <v>16.66</v>
      </c>
      <c r="O21" s="5">
        <v>11</v>
      </c>
      <c r="P21" s="4">
        <v>5738.333333333333</v>
      </c>
      <c r="Q21" s="4">
        <v>4415.625</v>
      </c>
      <c r="R21" s="4">
        <v>5887.5</v>
      </c>
      <c r="S21" s="4">
        <v>7359.375</v>
      </c>
      <c r="T21" s="4">
        <v>8831.25</v>
      </c>
      <c r="W21" s="5">
        <v>10</v>
      </c>
      <c r="X21" s="98">
        <v>3967.5</v>
      </c>
      <c r="Y21" s="97">
        <v>5290</v>
      </c>
      <c r="Z21" s="98">
        <v>6612.5</v>
      </c>
      <c r="AA21" s="98">
        <v>7935</v>
      </c>
      <c r="AB21" s="2" t="str">
        <f t="shared" si="0"/>
        <v>no</v>
      </c>
    </row>
    <row r="22" spans="1:28" x14ac:dyDescent="0.3">
      <c r="A22" s="128"/>
      <c r="B22" s="87" t="s">
        <v>54</v>
      </c>
      <c r="C22" s="104">
        <f>D21+0.01</f>
        <v>2680.01</v>
      </c>
      <c r="D22" s="116">
        <f>S32</f>
        <v>3349</v>
      </c>
      <c r="E22" s="84">
        <f>ROUNDUP('Subsidy points'!E20*L22,0)</f>
        <v>200</v>
      </c>
      <c r="F22" s="84">
        <f>ROUNDUP('Subsidy points'!F20*L22,0)</f>
        <v>150</v>
      </c>
      <c r="G22" s="84">
        <f>ROUNDUP('Subsidy points'!G20*L22,0)</f>
        <v>184</v>
      </c>
      <c r="H22" s="84">
        <f>ROUNDUP('Subsidy points'!H20*L22,0)</f>
        <v>134</v>
      </c>
      <c r="I22" s="84">
        <f>ROUNDUP('Subsidy points'!I20*L22,0)</f>
        <v>117</v>
      </c>
      <c r="J22" s="84">
        <f>ROUNDUP('Subsidy points'!J20*L22,0)</f>
        <v>167</v>
      </c>
      <c r="K22" s="84">
        <v>200</v>
      </c>
      <c r="L22" s="2">
        <v>16.66</v>
      </c>
      <c r="O22" s="5">
        <v>12</v>
      </c>
      <c r="P22" s="4">
        <v>6186.666666666667</v>
      </c>
      <c r="Q22" s="4">
        <v>4759.375</v>
      </c>
      <c r="R22" s="4">
        <v>6345.833333333333</v>
      </c>
      <c r="S22" s="4">
        <v>7932.291666666667</v>
      </c>
      <c r="T22" s="4">
        <v>9518.75</v>
      </c>
      <c r="W22" s="5">
        <v>11</v>
      </c>
      <c r="X22" s="98">
        <v>4303.75</v>
      </c>
      <c r="Y22" s="97">
        <v>5738.33</v>
      </c>
      <c r="Z22" s="98">
        <v>7172.92</v>
      </c>
      <c r="AA22" s="98">
        <v>8607.5</v>
      </c>
      <c r="AB22" s="2" t="str">
        <f t="shared" si="0"/>
        <v>no</v>
      </c>
    </row>
    <row r="23" spans="1:28" ht="12.5" thickBot="1" x14ac:dyDescent="0.35">
      <c r="A23" s="129"/>
      <c r="B23" s="88" t="s">
        <v>55</v>
      </c>
      <c r="C23" s="105">
        <f>D22+0.01</f>
        <v>3349.01</v>
      </c>
      <c r="D23" s="82">
        <f>T32</f>
        <v>4019</v>
      </c>
      <c r="E23" s="85">
        <f>ROUNDUP('Subsidy points'!E21*L23,0)</f>
        <v>184</v>
      </c>
      <c r="F23" s="85">
        <f>ROUNDUP('Subsidy points'!F21*L23,0)</f>
        <v>134</v>
      </c>
      <c r="G23" s="85">
        <f>ROUNDUP('Subsidy points'!G21*L23,0)</f>
        <v>167</v>
      </c>
      <c r="H23" s="85">
        <f>ROUNDUP('Subsidy points'!H21*L23,0)</f>
        <v>117</v>
      </c>
      <c r="I23" s="85">
        <f>ROUNDUP('Subsidy points'!I21*L23,0)</f>
        <v>100</v>
      </c>
      <c r="J23" s="85">
        <f>ROUNDUP('Subsidy points'!J21*L23,0)</f>
        <v>150</v>
      </c>
      <c r="K23" s="85">
        <v>184</v>
      </c>
      <c r="L23" s="2">
        <v>16.66</v>
      </c>
      <c r="O23" s="5">
        <v>13</v>
      </c>
      <c r="P23" s="4">
        <v>6635</v>
      </c>
      <c r="Q23" s="4">
        <v>5103.125</v>
      </c>
      <c r="R23" s="4">
        <v>6804.166666666667</v>
      </c>
      <c r="S23" s="4">
        <v>8505.2083333333339</v>
      </c>
      <c r="T23" s="4">
        <v>10206.25</v>
      </c>
      <c r="W23" s="5">
        <v>12</v>
      </c>
      <c r="X23" s="98">
        <v>4640</v>
      </c>
      <c r="Y23" s="97">
        <v>6186.67</v>
      </c>
      <c r="Z23" s="98">
        <v>7733.33</v>
      </c>
      <c r="AA23" s="98">
        <v>9280</v>
      </c>
      <c r="AB23" s="2" t="str">
        <f t="shared" si="0"/>
        <v>no</v>
      </c>
    </row>
    <row r="24" spans="1:28" ht="12.5" thickBot="1" x14ac:dyDescent="0.35">
      <c r="A24" s="2" t="s">
        <v>25</v>
      </c>
      <c r="C24" s="107"/>
      <c r="D24" s="12"/>
      <c r="E24" s="1"/>
      <c r="F24" s="1"/>
      <c r="G24" s="1"/>
      <c r="H24" s="1"/>
      <c r="I24" s="1"/>
      <c r="J24" s="1"/>
      <c r="K24" s="1"/>
      <c r="L24" s="2" t="s">
        <v>22</v>
      </c>
      <c r="O24" s="5">
        <v>14</v>
      </c>
      <c r="P24" s="4">
        <v>7083.333333333333</v>
      </c>
      <c r="Q24" s="4">
        <v>5446.875</v>
      </c>
      <c r="R24" s="4">
        <v>7262.5</v>
      </c>
      <c r="S24" s="4">
        <v>9078.125</v>
      </c>
      <c r="T24" s="4">
        <v>10893.75</v>
      </c>
      <c r="W24" s="5">
        <v>13</v>
      </c>
      <c r="X24" s="98">
        <v>4976.25</v>
      </c>
      <c r="Y24" s="97">
        <v>6635</v>
      </c>
      <c r="Z24" s="98">
        <v>8293.75</v>
      </c>
      <c r="AA24" s="98">
        <v>9952.5</v>
      </c>
      <c r="AB24" s="2" t="str">
        <f t="shared" si="0"/>
        <v>no</v>
      </c>
    </row>
    <row r="25" spans="1:28" x14ac:dyDescent="0.3">
      <c r="A25" s="127">
        <v>5</v>
      </c>
      <c r="B25" s="86" t="s">
        <v>13</v>
      </c>
      <c r="C25" s="103">
        <f>0</f>
        <v>0</v>
      </c>
      <c r="D25" s="80">
        <f>Q33</f>
        <v>2354</v>
      </c>
      <c r="E25" s="83">
        <f>ROUNDUP('Subsidy points'!E23*L25,0)</f>
        <v>250</v>
      </c>
      <c r="F25" s="83">
        <f>ROUNDUP('Subsidy points'!F23*L25,0)</f>
        <v>200</v>
      </c>
      <c r="G25" s="83">
        <f>ROUNDUP('Subsidy points'!G23*L25,0)</f>
        <v>234</v>
      </c>
      <c r="H25" s="83">
        <f>ROUNDUP('Subsidy points'!H23*L25,0)</f>
        <v>184</v>
      </c>
      <c r="I25" s="83">
        <f>ROUNDUP('Subsidy points'!I23*L25,0)</f>
        <v>167</v>
      </c>
      <c r="J25" s="83">
        <f>ROUNDUP('Subsidy points'!J23*L25,0)</f>
        <v>217</v>
      </c>
      <c r="K25" s="83">
        <v>250</v>
      </c>
      <c r="L25" s="2">
        <v>16.66</v>
      </c>
      <c r="W25" s="5">
        <v>14</v>
      </c>
      <c r="X25" s="99">
        <v>5312.5</v>
      </c>
      <c r="Y25" s="100">
        <v>7083.33</v>
      </c>
      <c r="Z25" s="99">
        <v>8854.17</v>
      </c>
      <c r="AA25" s="99">
        <v>10625</v>
      </c>
      <c r="AB25" s="2" t="str">
        <f t="shared" si="0"/>
        <v>no</v>
      </c>
    </row>
    <row r="26" spans="1:28" x14ac:dyDescent="0.3">
      <c r="A26" s="128"/>
      <c r="B26" s="87" t="s">
        <v>53</v>
      </c>
      <c r="C26" s="104">
        <f>D25+0.01</f>
        <v>2354.0100000000002</v>
      </c>
      <c r="D26" s="81">
        <f>R33</f>
        <v>3138</v>
      </c>
      <c r="E26" s="84">
        <f>ROUNDUP('Subsidy points'!E24*L26,0)</f>
        <v>234</v>
      </c>
      <c r="F26" s="84">
        <f>ROUNDUP('Subsidy points'!F24*L26,0)</f>
        <v>184</v>
      </c>
      <c r="G26" s="84">
        <f>ROUNDUP('Subsidy points'!G24*L26,0)</f>
        <v>217</v>
      </c>
      <c r="H26" s="84">
        <f>ROUNDUP('Subsidy points'!H24*L26,0)</f>
        <v>167</v>
      </c>
      <c r="I26" s="84">
        <f>ROUNDUP('Subsidy points'!I24*L26,0)</f>
        <v>150</v>
      </c>
      <c r="J26" s="84">
        <f>ROUNDUP('Subsidy points'!J24*L26,0)</f>
        <v>200</v>
      </c>
      <c r="K26" s="84">
        <v>234</v>
      </c>
      <c r="L26" s="2">
        <v>16.66</v>
      </c>
    </row>
    <row r="27" spans="1:28" x14ac:dyDescent="0.3">
      <c r="A27" s="128"/>
      <c r="B27" s="87" t="s">
        <v>54</v>
      </c>
      <c r="C27" s="104">
        <f>D26+0.01</f>
        <v>3138.01</v>
      </c>
      <c r="D27" s="81">
        <f>S33</f>
        <v>3922</v>
      </c>
      <c r="E27" s="84">
        <f>ROUNDUP('Subsidy points'!E25*L27,0)</f>
        <v>217</v>
      </c>
      <c r="F27" s="84">
        <f>ROUNDUP('Subsidy points'!F25*L27,0)</f>
        <v>167</v>
      </c>
      <c r="G27" s="84">
        <f>ROUNDUP('Subsidy points'!G25*L27,0)</f>
        <v>200</v>
      </c>
      <c r="H27" s="84">
        <f>ROUNDUP('Subsidy points'!H25*L27,0)</f>
        <v>150</v>
      </c>
      <c r="I27" s="84">
        <f>ROUNDUP('Subsidy points'!I25*L27,0)</f>
        <v>134</v>
      </c>
      <c r="J27" s="84">
        <f>ROUNDUP('Subsidy points'!J25*L27,0)</f>
        <v>184</v>
      </c>
      <c r="K27" s="84">
        <v>217</v>
      </c>
      <c r="L27" s="2">
        <v>16.66</v>
      </c>
      <c r="O27" s="2" t="s">
        <v>19</v>
      </c>
    </row>
    <row r="28" spans="1:28" ht="12.75" customHeight="1" thickBot="1" x14ac:dyDescent="0.35">
      <c r="A28" s="129"/>
      <c r="B28" s="88" t="s">
        <v>55</v>
      </c>
      <c r="C28" s="105">
        <f>D27+0.01</f>
        <v>3922.01</v>
      </c>
      <c r="D28" s="82">
        <f>T33</f>
        <v>4707</v>
      </c>
      <c r="E28" s="85">
        <f>ROUNDUP('Subsidy points'!E26*L28,0)</f>
        <v>200</v>
      </c>
      <c r="F28" s="85">
        <f>ROUNDUP('Subsidy points'!F26*L28,0)</f>
        <v>150</v>
      </c>
      <c r="G28" s="85">
        <f>ROUNDUP('Subsidy points'!G26*L28,0)</f>
        <v>184</v>
      </c>
      <c r="H28" s="85">
        <f>ROUNDUP('Subsidy points'!H26*L28,0)</f>
        <v>134</v>
      </c>
      <c r="I28" s="85">
        <f>ROUNDUP('Subsidy points'!I26*L28,0)</f>
        <v>117</v>
      </c>
      <c r="J28" s="85">
        <f>ROUNDUP('Subsidy points'!J26*L28,0)</f>
        <v>167</v>
      </c>
      <c r="K28" s="85">
        <v>200</v>
      </c>
      <c r="L28" s="2">
        <v>16.66</v>
      </c>
      <c r="O28" s="6" t="s">
        <v>17</v>
      </c>
      <c r="Q28" s="59">
        <v>0.75</v>
      </c>
      <c r="R28" s="59">
        <v>1</v>
      </c>
      <c r="S28" s="59">
        <v>1.25</v>
      </c>
      <c r="T28" s="59">
        <v>1.5</v>
      </c>
    </row>
    <row r="29" spans="1:28" ht="12.5" thickBot="1" x14ac:dyDescent="0.35">
      <c r="A29" s="66"/>
      <c r="B29" s="66"/>
      <c r="C29" s="106"/>
      <c r="D29" s="67"/>
      <c r="E29" s="65"/>
      <c r="F29" s="65"/>
      <c r="G29" s="65"/>
      <c r="H29" s="65"/>
      <c r="I29" s="65"/>
      <c r="J29" s="65"/>
      <c r="K29" s="65"/>
      <c r="L29" s="2" t="s">
        <v>22</v>
      </c>
      <c r="O29" s="5">
        <v>1</v>
      </c>
      <c r="Q29" s="4">
        <f>ISO.CEILING(Q11)</f>
        <v>979</v>
      </c>
      <c r="R29" s="4">
        <f t="shared" ref="R29:T29" si="1">ISO.CEILING(R11)</f>
        <v>1305</v>
      </c>
      <c r="S29" s="4">
        <f t="shared" si="1"/>
        <v>1631</v>
      </c>
      <c r="T29" s="4">
        <f t="shared" si="1"/>
        <v>1957</v>
      </c>
    </row>
    <row r="30" spans="1:28" x14ac:dyDescent="0.3">
      <c r="A30" s="127">
        <v>6</v>
      </c>
      <c r="B30" s="86" t="s">
        <v>13</v>
      </c>
      <c r="C30" s="103">
        <v>0</v>
      </c>
      <c r="D30" s="115">
        <f>Q34</f>
        <v>2697</v>
      </c>
      <c r="E30" s="83">
        <v>250</v>
      </c>
      <c r="F30" s="83">
        <v>200</v>
      </c>
      <c r="G30" s="83">
        <v>234</v>
      </c>
      <c r="H30" s="83">
        <v>184</v>
      </c>
      <c r="I30" s="83">
        <v>167</v>
      </c>
      <c r="J30" s="83">
        <v>217</v>
      </c>
      <c r="K30" s="83">
        <v>250</v>
      </c>
      <c r="L30" s="2">
        <v>16.66</v>
      </c>
      <c r="O30" s="5">
        <v>2</v>
      </c>
      <c r="Q30" s="4">
        <f t="shared" ref="Q30:T42" si="2">ISO.CEILING(Q12)</f>
        <v>1322</v>
      </c>
      <c r="R30" s="4">
        <f t="shared" si="2"/>
        <v>1763</v>
      </c>
      <c r="S30" s="4">
        <f t="shared" si="2"/>
        <v>2204</v>
      </c>
      <c r="T30" s="4">
        <f t="shared" si="2"/>
        <v>2644</v>
      </c>
    </row>
    <row r="31" spans="1:28" x14ac:dyDescent="0.3">
      <c r="A31" s="128"/>
      <c r="B31" s="87" t="s">
        <v>53</v>
      </c>
      <c r="C31" s="104">
        <f>D30+0.01</f>
        <v>2697.01</v>
      </c>
      <c r="D31" s="116">
        <f>R34</f>
        <v>3596</v>
      </c>
      <c r="E31" s="84">
        <v>234</v>
      </c>
      <c r="F31" s="84">
        <v>184</v>
      </c>
      <c r="G31" s="84">
        <v>217</v>
      </c>
      <c r="H31" s="84">
        <v>167</v>
      </c>
      <c r="I31" s="84">
        <v>150</v>
      </c>
      <c r="J31" s="84">
        <v>200</v>
      </c>
      <c r="K31" s="84">
        <v>234</v>
      </c>
      <c r="L31" s="2">
        <v>16.66</v>
      </c>
      <c r="O31" s="5">
        <v>3</v>
      </c>
      <c r="Q31" s="4">
        <f t="shared" si="2"/>
        <v>1666</v>
      </c>
      <c r="R31" s="4">
        <f t="shared" si="2"/>
        <v>2221</v>
      </c>
      <c r="S31" s="4">
        <f t="shared" si="2"/>
        <v>2777</v>
      </c>
      <c r="T31" s="4">
        <f t="shared" si="2"/>
        <v>3332</v>
      </c>
      <c r="W31" s="4"/>
    </row>
    <row r="32" spans="1:28" x14ac:dyDescent="0.3">
      <c r="A32" s="128"/>
      <c r="B32" s="87" t="s">
        <v>54</v>
      </c>
      <c r="C32" s="104">
        <f>D31+0.01</f>
        <v>3596.01</v>
      </c>
      <c r="D32" s="116">
        <f>S34</f>
        <v>4495</v>
      </c>
      <c r="E32" s="84">
        <v>217</v>
      </c>
      <c r="F32" s="84">
        <v>167</v>
      </c>
      <c r="G32" s="84">
        <v>200</v>
      </c>
      <c r="H32" s="84">
        <v>150</v>
      </c>
      <c r="I32" s="84">
        <v>134</v>
      </c>
      <c r="J32" s="84">
        <v>184</v>
      </c>
      <c r="K32" s="84">
        <v>217</v>
      </c>
      <c r="L32" s="2">
        <v>16.66</v>
      </c>
      <c r="O32" s="5">
        <v>4</v>
      </c>
      <c r="Q32" s="4">
        <f t="shared" si="2"/>
        <v>2010</v>
      </c>
      <c r="R32" s="4">
        <f t="shared" si="2"/>
        <v>2680</v>
      </c>
      <c r="S32" s="4">
        <f t="shared" si="2"/>
        <v>3349</v>
      </c>
      <c r="T32" s="4">
        <f t="shared" si="2"/>
        <v>4019</v>
      </c>
      <c r="W32" s="4"/>
    </row>
    <row r="33" spans="1:23" ht="12.5" thickBot="1" x14ac:dyDescent="0.35">
      <c r="A33" s="129"/>
      <c r="B33" s="88" t="s">
        <v>55</v>
      </c>
      <c r="C33" s="105">
        <f>D32+0.01</f>
        <v>4495.01</v>
      </c>
      <c r="D33" s="117">
        <f>T34</f>
        <v>5394</v>
      </c>
      <c r="E33" s="85">
        <v>200</v>
      </c>
      <c r="F33" s="85">
        <v>150</v>
      </c>
      <c r="G33" s="85">
        <v>184</v>
      </c>
      <c r="H33" s="85">
        <v>134</v>
      </c>
      <c r="I33" s="85">
        <v>117</v>
      </c>
      <c r="J33" s="85">
        <v>167</v>
      </c>
      <c r="K33" s="85">
        <v>200</v>
      </c>
      <c r="L33" s="2">
        <v>16.66</v>
      </c>
      <c r="O33" s="5">
        <v>5</v>
      </c>
      <c r="Q33" s="4">
        <f t="shared" si="2"/>
        <v>2354</v>
      </c>
      <c r="R33" s="4">
        <f t="shared" si="2"/>
        <v>3138</v>
      </c>
      <c r="S33" s="4">
        <f t="shared" si="2"/>
        <v>3922</v>
      </c>
      <c r="T33" s="4">
        <f t="shared" si="2"/>
        <v>4707</v>
      </c>
      <c r="W33" s="4"/>
    </row>
    <row r="34" spans="1:23" ht="12.5" thickBot="1" x14ac:dyDescent="0.35">
      <c r="A34" s="66" t="s">
        <v>22</v>
      </c>
      <c r="B34" s="66"/>
      <c r="C34" s="106"/>
      <c r="D34" s="118"/>
      <c r="E34" s="65"/>
      <c r="F34" s="65"/>
      <c r="G34" s="65"/>
      <c r="H34" s="65"/>
      <c r="I34" s="65"/>
      <c r="J34" s="65"/>
      <c r="K34" s="65"/>
      <c r="O34" s="5">
        <v>6</v>
      </c>
      <c r="Q34" s="4">
        <f t="shared" si="2"/>
        <v>2697</v>
      </c>
      <c r="R34" s="4">
        <f t="shared" si="2"/>
        <v>3596</v>
      </c>
      <c r="S34" s="4">
        <f t="shared" si="2"/>
        <v>4495</v>
      </c>
      <c r="T34" s="4">
        <f t="shared" si="2"/>
        <v>5394</v>
      </c>
      <c r="W34" s="4"/>
    </row>
    <row r="35" spans="1:23" x14ac:dyDescent="0.3">
      <c r="A35" s="127">
        <v>7</v>
      </c>
      <c r="B35" s="86" t="s">
        <v>13</v>
      </c>
      <c r="C35" s="103">
        <v>0</v>
      </c>
      <c r="D35" s="115">
        <f>Q35</f>
        <v>3041</v>
      </c>
      <c r="E35" s="83">
        <v>250</v>
      </c>
      <c r="F35" s="83">
        <v>200</v>
      </c>
      <c r="G35" s="83">
        <v>234</v>
      </c>
      <c r="H35" s="83">
        <v>184</v>
      </c>
      <c r="I35" s="83">
        <v>167</v>
      </c>
      <c r="J35" s="83">
        <v>217</v>
      </c>
      <c r="K35" s="83">
        <v>250</v>
      </c>
      <c r="O35" s="5">
        <v>7</v>
      </c>
      <c r="Q35" s="4">
        <f t="shared" si="2"/>
        <v>3041</v>
      </c>
      <c r="R35" s="4">
        <f t="shared" si="2"/>
        <v>4055</v>
      </c>
      <c r="S35" s="4">
        <f t="shared" si="2"/>
        <v>5068</v>
      </c>
      <c r="T35" s="4">
        <f t="shared" si="2"/>
        <v>6082</v>
      </c>
      <c r="W35" s="4"/>
    </row>
    <row r="36" spans="1:23" x14ac:dyDescent="0.3">
      <c r="A36" s="128"/>
      <c r="B36" s="87" t="s">
        <v>53</v>
      </c>
      <c r="C36" s="104">
        <f>D35+0.01</f>
        <v>3041.01</v>
      </c>
      <c r="D36" s="116">
        <f>R35</f>
        <v>4055</v>
      </c>
      <c r="E36" s="84">
        <v>234</v>
      </c>
      <c r="F36" s="84">
        <v>184</v>
      </c>
      <c r="G36" s="84">
        <v>217</v>
      </c>
      <c r="H36" s="84">
        <v>167</v>
      </c>
      <c r="I36" s="84">
        <v>150</v>
      </c>
      <c r="J36" s="84">
        <v>200</v>
      </c>
      <c r="K36" s="84">
        <v>234</v>
      </c>
      <c r="O36" s="5">
        <v>8</v>
      </c>
      <c r="Q36" s="4">
        <f t="shared" si="2"/>
        <v>3385</v>
      </c>
      <c r="R36" s="4">
        <f t="shared" si="2"/>
        <v>4513</v>
      </c>
      <c r="S36" s="4">
        <f t="shared" si="2"/>
        <v>5641</v>
      </c>
      <c r="T36" s="4">
        <f t="shared" si="2"/>
        <v>6769</v>
      </c>
      <c r="W36" s="4"/>
    </row>
    <row r="37" spans="1:23" x14ac:dyDescent="0.3">
      <c r="A37" s="128"/>
      <c r="B37" s="87" t="s">
        <v>54</v>
      </c>
      <c r="C37" s="104">
        <f>D36+0.01</f>
        <v>4055.01</v>
      </c>
      <c r="D37" s="116">
        <f>S35</f>
        <v>5068</v>
      </c>
      <c r="E37" s="84">
        <v>217</v>
      </c>
      <c r="F37" s="84">
        <v>167</v>
      </c>
      <c r="G37" s="84">
        <v>200</v>
      </c>
      <c r="H37" s="84">
        <v>150</v>
      </c>
      <c r="I37" s="84">
        <v>134</v>
      </c>
      <c r="J37" s="84">
        <v>184</v>
      </c>
      <c r="K37" s="84">
        <v>217</v>
      </c>
      <c r="O37" s="5">
        <v>9</v>
      </c>
      <c r="Q37" s="4">
        <f t="shared" si="2"/>
        <v>3729</v>
      </c>
      <c r="R37" s="4">
        <f t="shared" si="2"/>
        <v>4971</v>
      </c>
      <c r="S37" s="4">
        <f t="shared" si="2"/>
        <v>6214</v>
      </c>
      <c r="T37" s="4">
        <f t="shared" si="2"/>
        <v>7457</v>
      </c>
      <c r="W37" s="4"/>
    </row>
    <row r="38" spans="1:23" ht="12.5" thickBot="1" x14ac:dyDescent="0.35">
      <c r="A38" s="129"/>
      <c r="B38" s="88" t="s">
        <v>55</v>
      </c>
      <c r="C38" s="105">
        <f>D37+0.01</f>
        <v>5068.01</v>
      </c>
      <c r="D38" s="117">
        <f>T35</f>
        <v>6082</v>
      </c>
      <c r="E38" s="85">
        <v>200</v>
      </c>
      <c r="F38" s="85">
        <v>150</v>
      </c>
      <c r="G38" s="85">
        <v>184</v>
      </c>
      <c r="H38" s="85">
        <v>134</v>
      </c>
      <c r="I38" s="85">
        <v>117</v>
      </c>
      <c r="J38" s="85">
        <v>167</v>
      </c>
      <c r="K38" s="85">
        <v>200</v>
      </c>
      <c r="O38" s="5">
        <v>10</v>
      </c>
      <c r="Q38" s="4">
        <f t="shared" si="2"/>
        <v>4072</v>
      </c>
      <c r="R38" s="4">
        <f t="shared" si="2"/>
        <v>5430</v>
      </c>
      <c r="S38" s="4">
        <f t="shared" si="2"/>
        <v>6787</v>
      </c>
      <c r="T38" s="4">
        <f t="shared" si="2"/>
        <v>8144</v>
      </c>
    </row>
    <row r="39" spans="1:23" ht="12.5" thickBot="1" x14ac:dyDescent="0.35">
      <c r="A39" s="66"/>
      <c r="B39" s="66"/>
      <c r="C39" s="106"/>
      <c r="D39" s="118"/>
      <c r="E39" s="65"/>
      <c r="F39" s="65"/>
      <c r="G39" s="65"/>
      <c r="H39" s="65"/>
      <c r="I39" s="65"/>
      <c r="J39" s="65"/>
      <c r="K39" s="65"/>
      <c r="O39" s="5">
        <v>11</v>
      </c>
      <c r="Q39" s="4">
        <f t="shared" si="2"/>
        <v>4416</v>
      </c>
      <c r="R39" s="4">
        <f t="shared" si="2"/>
        <v>5888</v>
      </c>
      <c r="S39" s="4">
        <f t="shared" si="2"/>
        <v>7360</v>
      </c>
      <c r="T39" s="4">
        <f t="shared" si="2"/>
        <v>8832</v>
      </c>
    </row>
    <row r="40" spans="1:23" x14ac:dyDescent="0.3">
      <c r="A40" s="127">
        <v>8</v>
      </c>
      <c r="B40" s="63" t="s">
        <v>13</v>
      </c>
      <c r="C40" s="108">
        <v>0</v>
      </c>
      <c r="D40" s="119">
        <f>Q36</f>
        <v>3385</v>
      </c>
      <c r="E40" s="80">
        <v>250</v>
      </c>
      <c r="F40" s="83">
        <v>200</v>
      </c>
      <c r="G40" s="83">
        <v>234</v>
      </c>
      <c r="H40" s="83">
        <v>184</v>
      </c>
      <c r="I40" s="83">
        <v>167</v>
      </c>
      <c r="J40" s="83">
        <v>217</v>
      </c>
      <c r="K40" s="83">
        <v>250</v>
      </c>
      <c r="O40" s="5">
        <v>12</v>
      </c>
      <c r="Q40" s="4">
        <f t="shared" si="2"/>
        <v>4760</v>
      </c>
      <c r="R40" s="4">
        <f t="shared" si="2"/>
        <v>6346</v>
      </c>
      <c r="S40" s="4">
        <f t="shared" si="2"/>
        <v>7933</v>
      </c>
      <c r="T40" s="4">
        <f t="shared" si="2"/>
        <v>9519</v>
      </c>
    </row>
    <row r="41" spans="1:23" x14ac:dyDescent="0.3">
      <c r="A41" s="128"/>
      <c r="B41" s="51" t="s">
        <v>53</v>
      </c>
      <c r="C41" s="109">
        <f>D40+0.01</f>
        <v>3385.01</v>
      </c>
      <c r="D41" s="78">
        <f>R36</f>
        <v>4513</v>
      </c>
      <c r="E41" s="81">
        <v>234</v>
      </c>
      <c r="F41" s="84">
        <v>184</v>
      </c>
      <c r="G41" s="84">
        <v>217</v>
      </c>
      <c r="H41" s="84">
        <v>167</v>
      </c>
      <c r="I41" s="84">
        <v>150</v>
      </c>
      <c r="J41" s="84">
        <v>200</v>
      </c>
      <c r="K41" s="84">
        <v>234</v>
      </c>
      <c r="O41" s="5">
        <v>13</v>
      </c>
      <c r="Q41" s="4">
        <f t="shared" si="2"/>
        <v>5104</v>
      </c>
      <c r="R41" s="4">
        <f t="shared" si="2"/>
        <v>6805</v>
      </c>
      <c r="S41" s="4">
        <f t="shared" si="2"/>
        <v>8506</v>
      </c>
      <c r="T41" s="4">
        <f t="shared" si="2"/>
        <v>10207</v>
      </c>
    </row>
    <row r="42" spans="1:23" x14ac:dyDescent="0.3">
      <c r="A42" s="128"/>
      <c r="B42" s="51" t="s">
        <v>54</v>
      </c>
      <c r="C42" s="109">
        <f>D41+0.01</f>
        <v>4513.01</v>
      </c>
      <c r="D42" s="78">
        <f>S36</f>
        <v>5641</v>
      </c>
      <c r="E42" s="81">
        <v>217</v>
      </c>
      <c r="F42" s="84">
        <v>167</v>
      </c>
      <c r="G42" s="84">
        <v>200</v>
      </c>
      <c r="H42" s="84">
        <v>150</v>
      </c>
      <c r="I42" s="84">
        <v>134</v>
      </c>
      <c r="J42" s="84">
        <v>184</v>
      </c>
      <c r="K42" s="84">
        <v>217</v>
      </c>
      <c r="O42" s="5">
        <v>14</v>
      </c>
      <c r="Q42" s="4">
        <f t="shared" si="2"/>
        <v>5447</v>
      </c>
      <c r="R42" s="4">
        <f t="shared" si="2"/>
        <v>7263</v>
      </c>
      <c r="S42" s="4">
        <f t="shared" si="2"/>
        <v>9079</v>
      </c>
      <c r="T42" s="4">
        <f t="shared" si="2"/>
        <v>10894</v>
      </c>
    </row>
    <row r="43" spans="1:23" ht="12.5" thickBot="1" x14ac:dyDescent="0.35">
      <c r="A43" s="129"/>
      <c r="B43" s="64" t="s">
        <v>55</v>
      </c>
      <c r="C43" s="110">
        <f>D42+0.01</f>
        <v>5641.01</v>
      </c>
      <c r="D43" s="79">
        <f>T36</f>
        <v>6769</v>
      </c>
      <c r="E43" s="82">
        <v>200</v>
      </c>
      <c r="F43" s="85">
        <v>150</v>
      </c>
      <c r="G43" s="85">
        <v>184</v>
      </c>
      <c r="H43" s="85">
        <v>134</v>
      </c>
      <c r="I43" s="85">
        <v>117</v>
      </c>
      <c r="J43" s="85">
        <v>167</v>
      </c>
      <c r="K43" s="85">
        <v>200</v>
      </c>
    </row>
    <row r="44" spans="1:23" ht="23.5" x14ac:dyDescent="0.3">
      <c r="A44" s="72"/>
      <c r="B44" s="52" t="s">
        <v>56</v>
      </c>
      <c r="C44" s="114" t="s">
        <v>58</v>
      </c>
      <c r="D44" s="73"/>
      <c r="E44" s="1"/>
      <c r="F44" s="1"/>
      <c r="G44" s="1"/>
      <c r="H44" s="1"/>
      <c r="I44" s="1"/>
      <c r="J44" s="1"/>
      <c r="K44" s="1"/>
    </row>
    <row r="45" spans="1:23" x14ac:dyDescent="0.3">
      <c r="B45" s="120" t="s">
        <v>57</v>
      </c>
      <c r="C45" s="107">
        <f>D43-D38</f>
        <v>687</v>
      </c>
      <c r="D45" s="73"/>
      <c r="E45" s="1"/>
      <c r="F45" s="1"/>
      <c r="G45" s="1"/>
      <c r="H45" s="1"/>
      <c r="I45" s="1"/>
      <c r="J45" s="1"/>
      <c r="K45" s="1"/>
      <c r="R45" s="4"/>
    </row>
    <row r="46" spans="1:23" x14ac:dyDescent="0.3">
      <c r="B46" s="120"/>
      <c r="C46" s="121"/>
      <c r="D46" s="73"/>
      <c r="E46" s="1"/>
      <c r="F46" s="1"/>
      <c r="G46" s="1"/>
      <c r="H46" s="1"/>
      <c r="I46" s="1"/>
      <c r="J46" s="1"/>
      <c r="K46" s="1"/>
      <c r="R46" s="4"/>
    </row>
    <row r="47" spans="1:23" x14ac:dyDescent="0.3">
      <c r="B47" s="120"/>
      <c r="C47" s="121"/>
      <c r="D47" s="73"/>
      <c r="E47" s="1"/>
      <c r="F47" s="1"/>
      <c r="G47" s="1"/>
      <c r="H47" s="1"/>
      <c r="I47" s="1"/>
      <c r="J47" s="1"/>
      <c r="K47" s="1"/>
      <c r="R47" s="4"/>
    </row>
    <row r="48" spans="1:23" x14ac:dyDescent="0.3">
      <c r="B48" s="120"/>
      <c r="C48" s="121"/>
      <c r="D48" s="73"/>
      <c r="E48" s="1"/>
      <c r="F48" s="1"/>
      <c r="G48" s="1"/>
      <c r="H48" s="1"/>
      <c r="I48" s="1"/>
      <c r="J48" s="1"/>
      <c r="K48" s="1"/>
    </row>
    <row r="49" spans="1:11" ht="15.65" customHeight="1" x14ac:dyDescent="0.3"/>
    <row r="50" spans="1:11" s="71" customFormat="1" ht="15.5" x14ac:dyDescent="0.35">
      <c r="A50" s="132" t="s">
        <v>26</v>
      </c>
      <c r="B50" s="133"/>
      <c r="C50" s="133" t="s">
        <v>1</v>
      </c>
      <c r="D50" s="134"/>
      <c r="E50" s="132" t="s">
        <v>1</v>
      </c>
      <c r="F50" s="133"/>
      <c r="G50" s="133"/>
      <c r="H50" s="133"/>
      <c r="I50" s="133"/>
      <c r="J50" s="134"/>
      <c r="K50" s="70" t="s">
        <v>2</v>
      </c>
    </row>
    <row r="51" spans="1:11" ht="24.5" thickBot="1" x14ac:dyDescent="0.35">
      <c r="A51" s="60" t="s">
        <v>3</v>
      </c>
      <c r="B51" s="60"/>
      <c r="C51" s="135" t="s">
        <v>4</v>
      </c>
      <c r="D51" s="135"/>
      <c r="E51" s="61" t="s">
        <v>5</v>
      </c>
      <c r="F51" s="61" t="s">
        <v>6</v>
      </c>
      <c r="G51" s="61" t="s">
        <v>7</v>
      </c>
      <c r="H51" s="61" t="s">
        <v>8</v>
      </c>
      <c r="I51" s="61" t="s">
        <v>9</v>
      </c>
      <c r="J51" s="61" t="s">
        <v>10</v>
      </c>
      <c r="K51" s="62" t="s">
        <v>11</v>
      </c>
    </row>
    <row r="52" spans="1:11" x14ac:dyDescent="0.3">
      <c r="A52" s="127">
        <v>1</v>
      </c>
      <c r="B52" s="63" t="s">
        <v>13</v>
      </c>
      <c r="C52" s="108">
        <v>0</v>
      </c>
      <c r="D52" s="77">
        <v>979</v>
      </c>
      <c r="E52" s="80">
        <f>ROUNDUP(E8*0.3,0)</f>
        <v>41</v>
      </c>
      <c r="F52" s="83">
        <f t="shared" ref="F52:K52" si="3">ROUNDUP(F8*0.3,0)</f>
        <v>26</v>
      </c>
      <c r="G52" s="83">
        <f t="shared" si="3"/>
        <v>36</v>
      </c>
      <c r="H52" s="83">
        <f t="shared" si="3"/>
        <v>21</v>
      </c>
      <c r="I52" s="83">
        <f t="shared" si="3"/>
        <v>15</v>
      </c>
      <c r="J52" s="83">
        <f t="shared" si="3"/>
        <v>30</v>
      </c>
      <c r="K52" s="83">
        <f t="shared" si="3"/>
        <v>41</v>
      </c>
    </row>
    <row r="53" spans="1:11" x14ac:dyDescent="0.3">
      <c r="A53" s="128"/>
      <c r="B53" s="51" t="s">
        <v>53</v>
      </c>
      <c r="C53" s="109">
        <v>979.01</v>
      </c>
      <c r="D53" s="78">
        <v>1305</v>
      </c>
      <c r="E53" s="81">
        <f>ROUNDUP(E7*0.3,0)</f>
        <v>45</v>
      </c>
      <c r="F53" s="84">
        <f t="shared" ref="F53:K53" si="4">ROUNDUP(F7*0.3,0)</f>
        <v>30</v>
      </c>
      <c r="G53" s="84">
        <f t="shared" si="4"/>
        <v>41</v>
      </c>
      <c r="H53" s="84">
        <f t="shared" si="4"/>
        <v>26</v>
      </c>
      <c r="I53" s="84">
        <f t="shared" si="4"/>
        <v>21</v>
      </c>
      <c r="J53" s="84">
        <f t="shared" si="4"/>
        <v>36</v>
      </c>
      <c r="K53" s="84">
        <f t="shared" si="4"/>
        <v>45</v>
      </c>
    </row>
    <row r="54" spans="1:11" x14ac:dyDescent="0.3">
      <c r="A54" s="128"/>
      <c r="B54" s="51" t="s">
        <v>54</v>
      </c>
      <c r="C54" s="109">
        <v>1305.01</v>
      </c>
      <c r="D54" s="78">
        <v>1631</v>
      </c>
      <c r="E54" s="81">
        <f>ROUNDUP(E6*0.3,0)</f>
        <v>51</v>
      </c>
      <c r="F54" s="84">
        <f t="shared" ref="F54:K54" si="5">ROUNDUP(F6*0.3,0)</f>
        <v>36</v>
      </c>
      <c r="G54" s="84">
        <f t="shared" si="5"/>
        <v>45</v>
      </c>
      <c r="H54" s="84">
        <f t="shared" si="5"/>
        <v>30</v>
      </c>
      <c r="I54" s="84">
        <f t="shared" si="5"/>
        <v>26</v>
      </c>
      <c r="J54" s="84">
        <f t="shared" si="5"/>
        <v>41</v>
      </c>
      <c r="K54" s="84">
        <f t="shared" si="5"/>
        <v>51</v>
      </c>
    </row>
    <row r="55" spans="1:11" ht="12.5" thickBot="1" x14ac:dyDescent="0.35">
      <c r="A55" s="129"/>
      <c r="B55" s="64" t="s">
        <v>55</v>
      </c>
      <c r="C55" s="110">
        <v>1631.01</v>
      </c>
      <c r="D55" s="79">
        <v>1957</v>
      </c>
      <c r="E55" s="82">
        <f>ROUNDUP(E5*0.3,0)</f>
        <v>56</v>
      </c>
      <c r="F55" s="85">
        <f t="shared" ref="F55:K55" si="6">ROUNDUP(F5*0.3,0)</f>
        <v>41</v>
      </c>
      <c r="G55" s="85">
        <f t="shared" si="6"/>
        <v>51</v>
      </c>
      <c r="H55" s="85">
        <f t="shared" si="6"/>
        <v>36</v>
      </c>
      <c r="I55" s="85">
        <f t="shared" si="6"/>
        <v>30</v>
      </c>
      <c r="J55" s="85">
        <f t="shared" si="6"/>
        <v>45</v>
      </c>
      <c r="K55" s="85">
        <f t="shared" si="6"/>
        <v>56</v>
      </c>
    </row>
    <row r="56" spans="1:11" ht="12.5" thickBot="1" x14ac:dyDescent="0.35">
      <c r="A56" s="65"/>
      <c r="B56" s="66"/>
      <c r="C56" s="106"/>
      <c r="D56" s="67"/>
      <c r="E56" s="65"/>
      <c r="F56" s="65"/>
      <c r="G56" s="65"/>
      <c r="H56" s="65"/>
      <c r="I56" s="65"/>
      <c r="J56" s="65"/>
      <c r="K56" s="65"/>
    </row>
    <row r="57" spans="1:11" x14ac:dyDescent="0.3">
      <c r="A57" s="127">
        <v>2</v>
      </c>
      <c r="B57" s="63" t="s">
        <v>13</v>
      </c>
      <c r="C57" s="108">
        <v>0</v>
      </c>
      <c r="D57" s="77">
        <v>1322</v>
      </c>
      <c r="E57" s="80">
        <f>ROUNDUP(E13*0.3,0)</f>
        <v>45</v>
      </c>
      <c r="F57" s="83">
        <f t="shared" ref="F57:K57" si="7">ROUNDUP(F13*0.3,0)</f>
        <v>30</v>
      </c>
      <c r="G57" s="83">
        <f t="shared" si="7"/>
        <v>41</v>
      </c>
      <c r="H57" s="83">
        <f t="shared" si="7"/>
        <v>21</v>
      </c>
      <c r="I57" s="83">
        <f t="shared" si="7"/>
        <v>21</v>
      </c>
      <c r="J57" s="83">
        <f t="shared" si="7"/>
        <v>36</v>
      </c>
      <c r="K57" s="83">
        <f t="shared" si="7"/>
        <v>45</v>
      </c>
    </row>
    <row r="58" spans="1:11" x14ac:dyDescent="0.3">
      <c r="A58" s="128"/>
      <c r="B58" s="51" t="s">
        <v>53</v>
      </c>
      <c r="C58" s="109">
        <v>1322.01</v>
      </c>
      <c r="D58" s="78">
        <v>1763</v>
      </c>
      <c r="E58" s="81">
        <f>ROUNDUP(E12*0.3,0)</f>
        <v>51</v>
      </c>
      <c r="F58" s="84">
        <f t="shared" ref="F58:K58" si="8">ROUNDUP(F12*0.3,0)</f>
        <v>36</v>
      </c>
      <c r="G58" s="84">
        <f t="shared" si="8"/>
        <v>45</v>
      </c>
      <c r="H58" s="84">
        <f t="shared" si="8"/>
        <v>26</v>
      </c>
      <c r="I58" s="84">
        <f t="shared" si="8"/>
        <v>26</v>
      </c>
      <c r="J58" s="84">
        <f t="shared" si="8"/>
        <v>41</v>
      </c>
      <c r="K58" s="84">
        <f t="shared" si="8"/>
        <v>51</v>
      </c>
    </row>
    <row r="59" spans="1:11" x14ac:dyDescent="0.3">
      <c r="A59" s="128"/>
      <c r="B59" s="51" t="s">
        <v>54</v>
      </c>
      <c r="C59" s="109">
        <v>1763.01</v>
      </c>
      <c r="D59" s="78">
        <v>2204</v>
      </c>
      <c r="E59" s="81">
        <f>ROUNDUP(E11*0.3,0)</f>
        <v>56</v>
      </c>
      <c r="F59" s="84">
        <f t="shared" ref="F59:K59" si="9">ROUNDUP(F11*0.3,0)</f>
        <v>41</v>
      </c>
      <c r="G59" s="84">
        <f t="shared" si="9"/>
        <v>51</v>
      </c>
      <c r="H59" s="84">
        <f t="shared" si="9"/>
        <v>30</v>
      </c>
      <c r="I59" s="84">
        <f t="shared" si="9"/>
        <v>30</v>
      </c>
      <c r="J59" s="84">
        <f t="shared" si="9"/>
        <v>45</v>
      </c>
      <c r="K59" s="84">
        <f t="shared" si="9"/>
        <v>56</v>
      </c>
    </row>
    <row r="60" spans="1:11" ht="12.5" thickBot="1" x14ac:dyDescent="0.35">
      <c r="A60" s="129"/>
      <c r="B60" s="64" t="s">
        <v>55</v>
      </c>
      <c r="C60" s="110">
        <v>2204.0100000000002</v>
      </c>
      <c r="D60" s="79">
        <v>2644</v>
      </c>
      <c r="E60" s="82">
        <f>ROUNDUP(E10*0.3,0)</f>
        <v>60</v>
      </c>
      <c r="F60" s="85">
        <f t="shared" ref="F60:K60" si="10">ROUNDUP(F10*0.3,0)</f>
        <v>45</v>
      </c>
      <c r="G60" s="85">
        <f t="shared" si="10"/>
        <v>56</v>
      </c>
      <c r="H60" s="85">
        <f t="shared" si="10"/>
        <v>36</v>
      </c>
      <c r="I60" s="85">
        <f t="shared" si="10"/>
        <v>36</v>
      </c>
      <c r="J60" s="85">
        <f t="shared" si="10"/>
        <v>51</v>
      </c>
      <c r="K60" s="85">
        <f t="shared" si="10"/>
        <v>60</v>
      </c>
    </row>
    <row r="61" spans="1:11" ht="12.5" thickBot="1" x14ac:dyDescent="0.35">
      <c r="A61" s="66"/>
      <c r="B61" s="66"/>
      <c r="C61" s="106"/>
      <c r="D61" s="67"/>
      <c r="E61" s="65"/>
      <c r="F61" s="65"/>
      <c r="G61" s="65"/>
      <c r="H61" s="65"/>
      <c r="I61" s="65"/>
      <c r="J61" s="65"/>
      <c r="K61" s="65"/>
    </row>
    <row r="62" spans="1:11" x14ac:dyDescent="0.3">
      <c r="A62" s="127">
        <v>3</v>
      </c>
      <c r="B62" s="63" t="s">
        <v>13</v>
      </c>
      <c r="C62" s="111">
        <v>0</v>
      </c>
      <c r="D62" s="92">
        <v>1666</v>
      </c>
      <c r="E62" s="77">
        <f>ROUNDUP(E18*0.3,0)</f>
        <v>51</v>
      </c>
      <c r="F62" s="80">
        <f t="shared" ref="F62:K62" si="11">ROUNDUP(F18*0.3,0)</f>
        <v>36</v>
      </c>
      <c r="G62" s="83">
        <f t="shared" si="11"/>
        <v>45</v>
      </c>
      <c r="H62" s="83">
        <f t="shared" si="11"/>
        <v>30</v>
      </c>
      <c r="I62" s="83">
        <f t="shared" si="11"/>
        <v>26</v>
      </c>
      <c r="J62" s="83">
        <f t="shared" si="11"/>
        <v>41</v>
      </c>
      <c r="K62" s="83">
        <f t="shared" si="11"/>
        <v>51</v>
      </c>
    </row>
    <row r="63" spans="1:11" x14ac:dyDescent="0.3">
      <c r="A63" s="128"/>
      <c r="B63" s="51" t="s">
        <v>53</v>
      </c>
      <c r="C63" s="112">
        <v>1666.01</v>
      </c>
      <c r="D63" s="93">
        <v>2221</v>
      </c>
      <c r="E63" s="78">
        <f>ROUNDUP(E17*0.3,0)</f>
        <v>56</v>
      </c>
      <c r="F63" s="81">
        <f t="shared" ref="F63:K63" si="12">ROUNDUP(F17*0.3,0)</f>
        <v>41</v>
      </c>
      <c r="G63" s="84">
        <f t="shared" si="12"/>
        <v>51</v>
      </c>
      <c r="H63" s="84">
        <f t="shared" si="12"/>
        <v>36</v>
      </c>
      <c r="I63" s="84">
        <f t="shared" si="12"/>
        <v>30</v>
      </c>
      <c r="J63" s="84">
        <f t="shared" si="12"/>
        <v>45</v>
      </c>
      <c r="K63" s="84">
        <f t="shared" si="12"/>
        <v>56</v>
      </c>
    </row>
    <row r="64" spans="1:11" x14ac:dyDescent="0.3">
      <c r="A64" s="128"/>
      <c r="B64" s="51" t="s">
        <v>54</v>
      </c>
      <c r="C64" s="112">
        <v>2221.0100000000002</v>
      </c>
      <c r="D64" s="93">
        <v>2777</v>
      </c>
      <c r="E64" s="78">
        <f>ROUNDUP(E16*0.3,0)</f>
        <v>60</v>
      </c>
      <c r="F64" s="81">
        <f t="shared" ref="F64:K64" si="13">ROUNDUP(F16*0.3,0)</f>
        <v>45</v>
      </c>
      <c r="G64" s="84">
        <f t="shared" si="13"/>
        <v>56</v>
      </c>
      <c r="H64" s="84">
        <f t="shared" si="13"/>
        <v>41</v>
      </c>
      <c r="I64" s="84">
        <f t="shared" si="13"/>
        <v>36</v>
      </c>
      <c r="J64" s="84">
        <f t="shared" si="13"/>
        <v>51</v>
      </c>
      <c r="K64" s="84">
        <f t="shared" si="13"/>
        <v>60</v>
      </c>
    </row>
    <row r="65" spans="1:11" ht="12.5" thickBot="1" x14ac:dyDescent="0.35">
      <c r="A65" s="129"/>
      <c r="B65" s="64" t="s">
        <v>55</v>
      </c>
      <c r="C65" s="113">
        <v>2777.01</v>
      </c>
      <c r="D65" s="94">
        <v>3332</v>
      </c>
      <c r="E65" s="79">
        <f>ROUNDUP(E15*0.3,0)</f>
        <v>66</v>
      </c>
      <c r="F65" s="82">
        <f t="shared" ref="F65:K65" si="14">ROUNDUP(F15*0.3,0)</f>
        <v>51</v>
      </c>
      <c r="G65" s="85">
        <f t="shared" si="14"/>
        <v>60</v>
      </c>
      <c r="H65" s="85">
        <f t="shared" si="14"/>
        <v>45</v>
      </c>
      <c r="I65" s="85">
        <f t="shared" si="14"/>
        <v>41</v>
      </c>
      <c r="J65" s="85">
        <f t="shared" si="14"/>
        <v>56</v>
      </c>
      <c r="K65" s="85">
        <f t="shared" si="14"/>
        <v>66</v>
      </c>
    </row>
    <row r="66" spans="1:11" ht="12.5" thickBot="1" x14ac:dyDescent="0.35">
      <c r="A66" s="66"/>
      <c r="B66" s="66"/>
      <c r="C66" s="106"/>
      <c r="D66" s="67"/>
      <c r="E66" s="65"/>
      <c r="F66" s="65"/>
      <c r="G66" s="65"/>
      <c r="H66" s="65"/>
      <c r="I66" s="65"/>
      <c r="J66" s="65"/>
      <c r="K66" s="65"/>
    </row>
    <row r="67" spans="1:11" x14ac:dyDescent="0.3">
      <c r="A67" s="127">
        <v>4</v>
      </c>
      <c r="B67" s="63" t="s">
        <v>13</v>
      </c>
      <c r="C67" s="108">
        <v>0</v>
      </c>
      <c r="D67" s="77">
        <v>2010</v>
      </c>
      <c r="E67" s="80">
        <f>ROUNDUP(E23*0.3,0)</f>
        <v>56</v>
      </c>
      <c r="F67" s="83">
        <f t="shared" ref="F67:K67" si="15">ROUNDUP(F23*0.3,0)</f>
        <v>41</v>
      </c>
      <c r="G67" s="83">
        <f t="shared" si="15"/>
        <v>51</v>
      </c>
      <c r="H67" s="83">
        <f t="shared" si="15"/>
        <v>36</v>
      </c>
      <c r="I67" s="83">
        <f t="shared" si="15"/>
        <v>30</v>
      </c>
      <c r="J67" s="83">
        <f t="shared" si="15"/>
        <v>45</v>
      </c>
      <c r="K67" s="83">
        <f t="shared" si="15"/>
        <v>56</v>
      </c>
    </row>
    <row r="68" spans="1:11" x14ac:dyDescent="0.3">
      <c r="A68" s="128"/>
      <c r="B68" s="51" t="s">
        <v>53</v>
      </c>
      <c r="C68" s="109">
        <v>2010.01</v>
      </c>
      <c r="D68" s="78">
        <v>2680</v>
      </c>
      <c r="E68" s="81">
        <f>ROUNDUP(E22*0.3,0)</f>
        <v>60</v>
      </c>
      <c r="F68" s="84">
        <f t="shared" ref="F68:K68" si="16">ROUNDUP(F22*0.3,0)</f>
        <v>45</v>
      </c>
      <c r="G68" s="84">
        <f t="shared" si="16"/>
        <v>56</v>
      </c>
      <c r="H68" s="84">
        <f t="shared" si="16"/>
        <v>41</v>
      </c>
      <c r="I68" s="84">
        <f t="shared" si="16"/>
        <v>36</v>
      </c>
      <c r="J68" s="84">
        <f t="shared" si="16"/>
        <v>51</v>
      </c>
      <c r="K68" s="84">
        <f t="shared" si="16"/>
        <v>60</v>
      </c>
    </row>
    <row r="69" spans="1:11" x14ac:dyDescent="0.3">
      <c r="A69" s="128"/>
      <c r="B69" s="51" t="s">
        <v>54</v>
      </c>
      <c r="C69" s="109">
        <v>2680.01</v>
      </c>
      <c r="D69" s="78">
        <v>3349</v>
      </c>
      <c r="E69" s="81">
        <f>ROUNDUP(E21*0.3,0)</f>
        <v>66</v>
      </c>
      <c r="F69" s="84">
        <f t="shared" ref="F69:K69" si="17">ROUNDUP(F21*0.3,0)</f>
        <v>51</v>
      </c>
      <c r="G69" s="84">
        <f t="shared" si="17"/>
        <v>60</v>
      </c>
      <c r="H69" s="84">
        <f t="shared" si="17"/>
        <v>45</v>
      </c>
      <c r="I69" s="84">
        <f t="shared" si="17"/>
        <v>41</v>
      </c>
      <c r="J69" s="84">
        <f t="shared" si="17"/>
        <v>56</v>
      </c>
      <c r="K69" s="84">
        <f t="shared" si="17"/>
        <v>66</v>
      </c>
    </row>
    <row r="70" spans="1:11" ht="12.5" thickBot="1" x14ac:dyDescent="0.35">
      <c r="A70" s="129"/>
      <c r="B70" s="64" t="s">
        <v>55</v>
      </c>
      <c r="C70" s="110">
        <v>3349.01</v>
      </c>
      <c r="D70" s="79">
        <v>4019</v>
      </c>
      <c r="E70" s="82">
        <f>ROUNDUP(E20*0.3,0)</f>
        <v>71</v>
      </c>
      <c r="F70" s="85">
        <f t="shared" ref="F70:K70" si="18">ROUNDUP(F20*0.3,0)</f>
        <v>56</v>
      </c>
      <c r="G70" s="85">
        <f t="shared" si="18"/>
        <v>66</v>
      </c>
      <c r="H70" s="85">
        <f t="shared" si="18"/>
        <v>51</v>
      </c>
      <c r="I70" s="85">
        <f t="shared" si="18"/>
        <v>45</v>
      </c>
      <c r="J70" s="85">
        <f t="shared" si="18"/>
        <v>60</v>
      </c>
      <c r="K70" s="85">
        <f t="shared" si="18"/>
        <v>71</v>
      </c>
    </row>
    <row r="71" spans="1:11" ht="12.5" thickBot="1" x14ac:dyDescent="0.35">
      <c r="A71" s="66" t="s">
        <v>25</v>
      </c>
      <c r="B71" s="66"/>
      <c r="C71" s="106"/>
      <c r="D71" s="67"/>
      <c r="E71" s="65"/>
      <c r="F71" s="65"/>
      <c r="G71" s="65"/>
      <c r="H71" s="65"/>
      <c r="I71" s="65"/>
      <c r="J71" s="65"/>
      <c r="K71" s="65"/>
    </row>
    <row r="72" spans="1:11" x14ac:dyDescent="0.3">
      <c r="A72" s="127">
        <v>5</v>
      </c>
      <c r="B72" s="63" t="s">
        <v>13</v>
      </c>
      <c r="C72" s="108">
        <v>0</v>
      </c>
      <c r="D72" s="77">
        <v>2354</v>
      </c>
      <c r="E72" s="80">
        <f>ROUNDUP(E28*0.3,0)</f>
        <v>60</v>
      </c>
      <c r="F72" s="83">
        <f t="shared" ref="F72:K72" si="19">ROUNDUP(F28*0.3,0)</f>
        <v>45</v>
      </c>
      <c r="G72" s="83">
        <f t="shared" si="19"/>
        <v>56</v>
      </c>
      <c r="H72" s="83">
        <f t="shared" si="19"/>
        <v>41</v>
      </c>
      <c r="I72" s="83">
        <f t="shared" si="19"/>
        <v>36</v>
      </c>
      <c r="J72" s="83">
        <f t="shared" si="19"/>
        <v>51</v>
      </c>
      <c r="K72" s="83">
        <f t="shared" si="19"/>
        <v>60</v>
      </c>
    </row>
    <row r="73" spans="1:11" x14ac:dyDescent="0.3">
      <c r="A73" s="128"/>
      <c r="B73" s="51" t="s">
        <v>53</v>
      </c>
      <c r="C73" s="109">
        <v>2354.0100000000002</v>
      </c>
      <c r="D73" s="78">
        <v>3138</v>
      </c>
      <c r="E73" s="81">
        <f>ROUNDUP(E27*0.3,0)</f>
        <v>66</v>
      </c>
      <c r="F73" s="84">
        <f t="shared" ref="F73:K73" si="20">ROUNDUP(F27*0.3,0)</f>
        <v>51</v>
      </c>
      <c r="G73" s="84">
        <f t="shared" si="20"/>
        <v>60</v>
      </c>
      <c r="H73" s="84">
        <f t="shared" si="20"/>
        <v>45</v>
      </c>
      <c r="I73" s="84">
        <f t="shared" si="20"/>
        <v>41</v>
      </c>
      <c r="J73" s="84">
        <f t="shared" si="20"/>
        <v>56</v>
      </c>
      <c r="K73" s="84">
        <f t="shared" si="20"/>
        <v>66</v>
      </c>
    </row>
    <row r="74" spans="1:11" x14ac:dyDescent="0.3">
      <c r="A74" s="128"/>
      <c r="B74" s="51" t="s">
        <v>54</v>
      </c>
      <c r="C74" s="109">
        <v>3138.01</v>
      </c>
      <c r="D74" s="78">
        <v>3922</v>
      </c>
      <c r="E74" s="81">
        <f>ROUNDUP(E26*0.3,0)</f>
        <v>71</v>
      </c>
      <c r="F74" s="84">
        <f t="shared" ref="F74:K74" si="21">ROUNDUP(F26*0.3,0)</f>
        <v>56</v>
      </c>
      <c r="G74" s="84">
        <f t="shared" si="21"/>
        <v>66</v>
      </c>
      <c r="H74" s="84">
        <f t="shared" si="21"/>
        <v>51</v>
      </c>
      <c r="I74" s="84">
        <f t="shared" si="21"/>
        <v>45</v>
      </c>
      <c r="J74" s="84">
        <f t="shared" si="21"/>
        <v>60</v>
      </c>
      <c r="K74" s="84">
        <f t="shared" si="21"/>
        <v>71</v>
      </c>
    </row>
    <row r="75" spans="1:11" ht="12.5" thickBot="1" x14ac:dyDescent="0.35">
      <c r="A75" s="129"/>
      <c r="B75" s="64" t="s">
        <v>55</v>
      </c>
      <c r="C75" s="110">
        <v>3922.01</v>
      </c>
      <c r="D75" s="79">
        <v>4707</v>
      </c>
      <c r="E75" s="82">
        <f>ROUNDUP(E25*0.3,0)</f>
        <v>75</v>
      </c>
      <c r="F75" s="85">
        <f t="shared" ref="F75:K75" si="22">ROUNDUP(F25*0.3,0)</f>
        <v>60</v>
      </c>
      <c r="G75" s="85">
        <f t="shared" si="22"/>
        <v>71</v>
      </c>
      <c r="H75" s="85">
        <f t="shared" si="22"/>
        <v>56</v>
      </c>
      <c r="I75" s="85">
        <f t="shared" si="22"/>
        <v>51</v>
      </c>
      <c r="J75" s="85">
        <f t="shared" si="22"/>
        <v>66</v>
      </c>
      <c r="K75" s="85">
        <f t="shared" si="22"/>
        <v>75</v>
      </c>
    </row>
    <row r="76" spans="1:11" ht="12.5" thickBot="1" x14ac:dyDescent="0.35">
      <c r="C76" s="107"/>
      <c r="D76" s="12"/>
      <c r="E76" s="1"/>
      <c r="F76" s="1"/>
      <c r="G76" s="1"/>
      <c r="H76" s="1"/>
      <c r="I76" s="1"/>
      <c r="J76" s="1"/>
      <c r="K76" s="1"/>
    </row>
    <row r="77" spans="1:11" x14ac:dyDescent="0.3">
      <c r="A77" s="123">
        <v>6</v>
      </c>
      <c r="B77" s="10" t="s">
        <v>13</v>
      </c>
      <c r="C77" s="111">
        <v>0</v>
      </c>
      <c r="D77" s="92">
        <v>2697</v>
      </c>
      <c r="E77" s="77">
        <v>60</v>
      </c>
      <c r="F77" s="80">
        <v>45</v>
      </c>
      <c r="G77" s="83">
        <v>56</v>
      </c>
      <c r="H77" s="83">
        <v>41</v>
      </c>
      <c r="I77" s="83">
        <v>36</v>
      </c>
      <c r="J77" s="83">
        <v>51</v>
      </c>
      <c r="K77" s="83">
        <v>60</v>
      </c>
    </row>
    <row r="78" spans="1:11" x14ac:dyDescent="0.3">
      <c r="A78" s="124"/>
      <c r="B78" s="2" t="s">
        <v>53</v>
      </c>
      <c r="C78" s="112">
        <v>2697.01</v>
      </c>
      <c r="D78" s="93">
        <v>3596</v>
      </c>
      <c r="E78" s="78">
        <v>66</v>
      </c>
      <c r="F78" s="81">
        <v>51</v>
      </c>
      <c r="G78" s="84">
        <v>60</v>
      </c>
      <c r="H78" s="84">
        <v>45</v>
      </c>
      <c r="I78" s="84">
        <v>41</v>
      </c>
      <c r="J78" s="84">
        <v>56</v>
      </c>
      <c r="K78" s="84">
        <v>66</v>
      </c>
    </row>
    <row r="79" spans="1:11" x14ac:dyDescent="0.3">
      <c r="A79" s="124"/>
      <c r="B79" s="2" t="s">
        <v>54</v>
      </c>
      <c r="C79" s="112">
        <v>3596.01</v>
      </c>
      <c r="D79" s="93">
        <v>4495</v>
      </c>
      <c r="E79" s="78">
        <v>71</v>
      </c>
      <c r="F79" s="81">
        <v>56</v>
      </c>
      <c r="G79" s="84">
        <v>66</v>
      </c>
      <c r="H79" s="84">
        <v>51</v>
      </c>
      <c r="I79" s="84">
        <v>45</v>
      </c>
      <c r="J79" s="84">
        <v>60</v>
      </c>
      <c r="K79" s="84">
        <v>71</v>
      </c>
    </row>
    <row r="80" spans="1:11" ht="12.5" thickBot="1" x14ac:dyDescent="0.35">
      <c r="A80" s="125"/>
      <c r="B80" s="11" t="s">
        <v>55</v>
      </c>
      <c r="C80" s="113">
        <v>4495.01</v>
      </c>
      <c r="D80" s="94">
        <v>5394</v>
      </c>
      <c r="E80" s="79">
        <v>75</v>
      </c>
      <c r="F80" s="82">
        <v>60</v>
      </c>
      <c r="G80" s="85">
        <v>71</v>
      </c>
      <c r="H80" s="85">
        <v>56</v>
      </c>
      <c r="I80" s="85">
        <v>51</v>
      </c>
      <c r="J80" s="85">
        <v>66</v>
      </c>
      <c r="K80" s="85">
        <v>75</v>
      </c>
    </row>
    <row r="81" spans="1:11" ht="12.5" thickBot="1" x14ac:dyDescent="0.35">
      <c r="A81" s="2" t="s">
        <v>22</v>
      </c>
      <c r="C81" s="107"/>
      <c r="D81" s="12"/>
      <c r="E81" s="1"/>
      <c r="F81" s="1"/>
      <c r="G81" s="1"/>
      <c r="H81" s="1"/>
      <c r="I81" s="1"/>
      <c r="J81" s="1"/>
      <c r="K81" s="1"/>
    </row>
    <row r="82" spans="1:11" x14ac:dyDescent="0.3">
      <c r="A82" s="123">
        <v>7</v>
      </c>
      <c r="B82" s="10" t="s">
        <v>13</v>
      </c>
      <c r="C82" s="111">
        <v>0</v>
      </c>
      <c r="D82" s="92">
        <v>3041</v>
      </c>
      <c r="E82" s="77">
        <v>60</v>
      </c>
      <c r="F82" s="80">
        <v>45</v>
      </c>
      <c r="G82" s="83">
        <v>56</v>
      </c>
      <c r="H82" s="83">
        <v>41</v>
      </c>
      <c r="I82" s="83">
        <v>36</v>
      </c>
      <c r="J82" s="83">
        <v>51</v>
      </c>
      <c r="K82" s="83">
        <v>60</v>
      </c>
    </row>
    <row r="83" spans="1:11" x14ac:dyDescent="0.3">
      <c r="A83" s="124"/>
      <c r="B83" s="2" t="s">
        <v>53</v>
      </c>
      <c r="C83" s="112">
        <v>3041.01</v>
      </c>
      <c r="D83" s="93">
        <v>4055</v>
      </c>
      <c r="E83" s="78">
        <v>66</v>
      </c>
      <c r="F83" s="81">
        <v>51</v>
      </c>
      <c r="G83" s="84">
        <v>60</v>
      </c>
      <c r="H83" s="84">
        <v>45</v>
      </c>
      <c r="I83" s="84">
        <v>41</v>
      </c>
      <c r="J83" s="84">
        <v>56</v>
      </c>
      <c r="K83" s="84">
        <v>66</v>
      </c>
    </row>
    <row r="84" spans="1:11" x14ac:dyDescent="0.3">
      <c r="A84" s="124"/>
      <c r="B84" s="2" t="s">
        <v>54</v>
      </c>
      <c r="C84" s="112">
        <v>4055.01</v>
      </c>
      <c r="D84" s="93">
        <v>5068</v>
      </c>
      <c r="E84" s="78">
        <v>71</v>
      </c>
      <c r="F84" s="81">
        <v>56</v>
      </c>
      <c r="G84" s="84">
        <v>66</v>
      </c>
      <c r="H84" s="84">
        <v>51</v>
      </c>
      <c r="I84" s="84">
        <v>45</v>
      </c>
      <c r="J84" s="84">
        <v>60</v>
      </c>
      <c r="K84" s="84">
        <v>71</v>
      </c>
    </row>
    <row r="85" spans="1:11" ht="12.5" thickBot="1" x14ac:dyDescent="0.35">
      <c r="A85" s="125"/>
      <c r="B85" s="11" t="s">
        <v>55</v>
      </c>
      <c r="C85" s="113">
        <v>5068.01</v>
      </c>
      <c r="D85" s="94">
        <v>6082</v>
      </c>
      <c r="E85" s="79">
        <v>75</v>
      </c>
      <c r="F85" s="82">
        <v>60</v>
      </c>
      <c r="G85" s="85">
        <v>71</v>
      </c>
      <c r="H85" s="85">
        <v>56</v>
      </c>
      <c r="I85" s="85">
        <v>51</v>
      </c>
      <c r="J85" s="85">
        <v>66</v>
      </c>
      <c r="K85" s="85">
        <v>75</v>
      </c>
    </row>
    <row r="86" spans="1:11" ht="12.5" thickBot="1" x14ac:dyDescent="0.35">
      <c r="C86" s="107"/>
      <c r="D86" s="12"/>
      <c r="E86" s="1"/>
      <c r="F86" s="1"/>
      <c r="G86" s="1"/>
      <c r="H86" s="1"/>
      <c r="I86" s="1"/>
      <c r="J86" s="1"/>
      <c r="K86" s="1"/>
    </row>
    <row r="87" spans="1:11" x14ac:dyDescent="0.3">
      <c r="A87" s="123">
        <v>8</v>
      </c>
      <c r="B87" s="10" t="s">
        <v>13</v>
      </c>
      <c r="C87" s="111">
        <v>0</v>
      </c>
      <c r="D87" s="92">
        <v>3385</v>
      </c>
      <c r="E87" s="77">
        <v>60</v>
      </c>
      <c r="F87" s="80">
        <v>45</v>
      </c>
      <c r="G87" s="83">
        <v>56</v>
      </c>
      <c r="H87" s="83">
        <v>41</v>
      </c>
      <c r="I87" s="83">
        <v>36</v>
      </c>
      <c r="J87" s="83">
        <v>51</v>
      </c>
      <c r="K87" s="83">
        <v>60</v>
      </c>
    </row>
    <row r="88" spans="1:11" x14ac:dyDescent="0.3">
      <c r="A88" s="124"/>
      <c r="B88" s="2" t="s">
        <v>53</v>
      </c>
      <c r="C88" s="112">
        <v>3385.01</v>
      </c>
      <c r="D88" s="93">
        <v>4513</v>
      </c>
      <c r="E88" s="78">
        <v>66</v>
      </c>
      <c r="F88" s="81">
        <v>51</v>
      </c>
      <c r="G88" s="84">
        <v>60</v>
      </c>
      <c r="H88" s="84">
        <v>45</v>
      </c>
      <c r="I88" s="84">
        <v>41</v>
      </c>
      <c r="J88" s="84">
        <v>56</v>
      </c>
      <c r="K88" s="84">
        <v>66</v>
      </c>
    </row>
    <row r="89" spans="1:11" x14ac:dyDescent="0.3">
      <c r="A89" s="124"/>
      <c r="B89" s="2" t="s">
        <v>54</v>
      </c>
      <c r="C89" s="112">
        <v>4513.01</v>
      </c>
      <c r="D89" s="93">
        <v>5641</v>
      </c>
      <c r="E89" s="78">
        <v>71</v>
      </c>
      <c r="F89" s="81">
        <v>56</v>
      </c>
      <c r="G89" s="84">
        <v>66</v>
      </c>
      <c r="H89" s="84">
        <v>51</v>
      </c>
      <c r="I89" s="84">
        <v>45</v>
      </c>
      <c r="J89" s="84">
        <v>60</v>
      </c>
      <c r="K89" s="84">
        <v>71</v>
      </c>
    </row>
    <row r="90" spans="1:11" ht="12.5" thickBot="1" x14ac:dyDescent="0.35">
      <c r="A90" s="125"/>
      <c r="B90" s="11" t="s">
        <v>55</v>
      </c>
      <c r="C90" s="113">
        <v>5641.01</v>
      </c>
      <c r="D90" s="94">
        <v>6769</v>
      </c>
      <c r="E90" s="79">
        <v>75</v>
      </c>
      <c r="F90" s="82">
        <v>60</v>
      </c>
      <c r="G90" s="85">
        <v>71</v>
      </c>
      <c r="H90" s="85">
        <v>56</v>
      </c>
      <c r="I90" s="85">
        <v>51</v>
      </c>
      <c r="J90" s="85">
        <v>66</v>
      </c>
      <c r="K90" s="85">
        <v>75</v>
      </c>
    </row>
  </sheetData>
  <mergeCells count="27">
    <mergeCell ref="A77:A80"/>
    <mergeCell ref="A82:A85"/>
    <mergeCell ref="A87:A90"/>
    <mergeCell ref="C51:D51"/>
    <mergeCell ref="A52:A55"/>
    <mergeCell ref="A57:A60"/>
    <mergeCell ref="A62:A65"/>
    <mergeCell ref="A67:A70"/>
    <mergeCell ref="A72:A75"/>
    <mergeCell ref="A25:A28"/>
    <mergeCell ref="A30:A33"/>
    <mergeCell ref="A35:A38"/>
    <mergeCell ref="A40:A43"/>
    <mergeCell ref="A50:D50"/>
    <mergeCell ref="E50:J50"/>
    <mergeCell ref="X10:X11"/>
    <mergeCell ref="Y10:Y11"/>
    <mergeCell ref="Z10:Z11"/>
    <mergeCell ref="AA10:AA11"/>
    <mergeCell ref="A15:A18"/>
    <mergeCell ref="A20:A23"/>
    <mergeCell ref="A1:K1"/>
    <mergeCell ref="A3:D3"/>
    <mergeCell ref="E3:J3"/>
    <mergeCell ref="C4:D4"/>
    <mergeCell ref="A5:A8"/>
    <mergeCell ref="A10:A1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5838-9B0F-4DC9-A0CC-A7059B2D14DA}">
  <sheetPr>
    <tabColor rgb="FFFF0000"/>
  </sheetPr>
  <dimension ref="A1:AB90"/>
  <sheetViews>
    <sheetView topLeftCell="A41" workbookViewId="0">
      <selection activeCell="K28" sqref="K28"/>
    </sheetView>
    <sheetView tabSelected="1" workbookViewId="1">
      <selection sqref="A1:K1"/>
    </sheetView>
  </sheetViews>
  <sheetFormatPr defaultColWidth="8.81640625" defaultRowHeight="12" x14ac:dyDescent="0.3"/>
  <cols>
    <col min="1" max="2" width="9.453125" style="2" customWidth="1"/>
    <col min="3" max="3" width="10.1796875" style="4" customWidth="1"/>
    <col min="4" max="5" width="8.81640625" style="2"/>
    <col min="6" max="6" width="11.1796875" style="2" customWidth="1"/>
    <col min="7" max="11" width="8.81640625" style="2"/>
    <col min="12" max="12" width="8.81640625" style="2" customWidth="1"/>
    <col min="13" max="15" width="8.81640625" style="2"/>
    <col min="16" max="16" width="0" style="2" hidden="1" customWidth="1"/>
    <col min="17" max="16384" width="8.81640625" style="2"/>
  </cols>
  <sheetData>
    <row r="1" spans="1:28" ht="26.65" customHeight="1" x14ac:dyDescent="0.45">
      <c r="A1" s="130" t="s">
        <v>60</v>
      </c>
      <c r="B1" s="131"/>
      <c r="C1" s="131"/>
      <c r="D1" s="131"/>
      <c r="E1" s="131"/>
      <c r="F1" s="131"/>
      <c r="G1" s="131"/>
      <c r="H1" s="131"/>
      <c r="I1" s="131"/>
      <c r="J1" s="131"/>
      <c r="K1" s="131"/>
    </row>
    <row r="2" spans="1:28" ht="14.65" customHeight="1" x14ac:dyDescent="0.45">
      <c r="A2" s="69"/>
      <c r="B2" s="68"/>
      <c r="C2" s="102"/>
      <c r="D2" s="68"/>
      <c r="E2" s="68"/>
      <c r="F2" s="68"/>
      <c r="G2" s="68"/>
      <c r="H2" s="68"/>
      <c r="I2" s="68"/>
      <c r="J2" s="68"/>
      <c r="K2" s="68"/>
    </row>
    <row r="3" spans="1:28" s="71" customFormat="1" ht="15.5" x14ac:dyDescent="0.35">
      <c r="A3" s="132" t="s">
        <v>0</v>
      </c>
      <c r="B3" s="133"/>
      <c r="C3" s="133"/>
      <c r="D3" s="134"/>
      <c r="E3" s="132" t="s">
        <v>1</v>
      </c>
      <c r="F3" s="133"/>
      <c r="G3" s="133"/>
      <c r="H3" s="133"/>
      <c r="I3" s="133"/>
      <c r="J3" s="134"/>
      <c r="K3" s="70" t="s">
        <v>2</v>
      </c>
    </row>
    <row r="4" spans="1:28" s="1" customFormat="1" ht="24.5" thickBot="1" x14ac:dyDescent="0.35">
      <c r="A4" s="60" t="s">
        <v>3</v>
      </c>
      <c r="B4" s="60"/>
      <c r="C4" s="135" t="s">
        <v>4</v>
      </c>
      <c r="D4" s="135"/>
      <c r="E4" s="61" t="s">
        <v>5</v>
      </c>
      <c r="F4" s="61" t="s">
        <v>6</v>
      </c>
      <c r="G4" s="61" t="s">
        <v>7</v>
      </c>
      <c r="H4" s="61" t="s">
        <v>8</v>
      </c>
      <c r="I4" s="61" t="s">
        <v>9</v>
      </c>
      <c r="J4" s="61" t="s">
        <v>10</v>
      </c>
      <c r="K4" s="62" t="s">
        <v>11</v>
      </c>
    </row>
    <row r="5" spans="1:28" ht="12.5" thickBot="1" x14ac:dyDescent="0.35">
      <c r="A5" s="136">
        <v>1</v>
      </c>
      <c r="B5" s="74" t="s">
        <v>13</v>
      </c>
      <c r="C5" s="103">
        <v>0</v>
      </c>
      <c r="D5" s="80">
        <f>Q29</f>
        <v>979</v>
      </c>
      <c r="E5" s="83">
        <f>ROUNDUP('Subsidy points'!E3*L5,0)</f>
        <v>367</v>
      </c>
      <c r="F5" s="83">
        <f>ROUNDUP('Subsidy points'!F3*L5,0)</f>
        <v>267</v>
      </c>
      <c r="G5" s="83">
        <f>ROUNDUP('Subsidy points'!G3*L5,0)</f>
        <v>334</v>
      </c>
      <c r="H5" s="83">
        <f>ROUNDUP('Subsidy points'!H3*L5,0)</f>
        <v>234</v>
      </c>
      <c r="I5" s="83">
        <f>ROUNDUP('Subsidy points'!I3*L5,0)</f>
        <v>200</v>
      </c>
      <c r="J5" s="83">
        <f>ROUNDUP('Subsidy points'!J3*L5,0)</f>
        <v>300</v>
      </c>
      <c r="K5" s="83">
        <f>E5</f>
        <v>367</v>
      </c>
      <c r="L5" s="2">
        <v>33.33</v>
      </c>
      <c r="N5" s="2" t="s">
        <v>59</v>
      </c>
      <c r="U5" s="2">
        <f>0.75*1255</f>
        <v>941.25</v>
      </c>
    </row>
    <row r="6" spans="1:28" ht="12.5" thickBot="1" x14ac:dyDescent="0.35">
      <c r="A6" s="137"/>
      <c r="B6" s="75" t="s">
        <v>53</v>
      </c>
      <c r="C6" s="104">
        <f>D5+0.01</f>
        <v>979.01</v>
      </c>
      <c r="D6" s="81">
        <f>R29</f>
        <v>1305</v>
      </c>
      <c r="E6" s="84">
        <f>ROUNDUP('Subsidy points'!E4*L6,0)</f>
        <v>334</v>
      </c>
      <c r="F6" s="84">
        <f>ROUNDUP('Subsidy points'!F4*L6,0)</f>
        <v>234</v>
      </c>
      <c r="G6" s="84">
        <f>ROUNDUP('Subsidy points'!G4*L6,0)</f>
        <v>300</v>
      </c>
      <c r="H6" s="84">
        <f>ROUNDUP('Subsidy points'!H4*L6,0)</f>
        <v>200</v>
      </c>
      <c r="I6" s="84">
        <f>ROUNDUP('Subsidy points'!I4*L6,0)</f>
        <v>167</v>
      </c>
      <c r="J6" s="84">
        <f>ROUNDUP('Subsidy points'!J4*L6,0)</f>
        <v>267</v>
      </c>
      <c r="K6" s="83">
        <f t="shared" ref="K6:K8" si="0">E6</f>
        <v>334</v>
      </c>
      <c r="L6" s="2">
        <v>33.33</v>
      </c>
    </row>
    <row r="7" spans="1:28" ht="12.5" thickBot="1" x14ac:dyDescent="0.35">
      <c r="A7" s="137"/>
      <c r="B7" s="75" t="s">
        <v>54</v>
      </c>
      <c r="C7" s="104">
        <f>D6+0.01</f>
        <v>1305.01</v>
      </c>
      <c r="D7" s="81">
        <f>S29</f>
        <v>1631</v>
      </c>
      <c r="E7" s="84">
        <f>ROUNDUP('Subsidy points'!E5*L7,0)</f>
        <v>300</v>
      </c>
      <c r="F7" s="84">
        <f>ROUNDUP('Subsidy points'!F5*L7,0)</f>
        <v>200</v>
      </c>
      <c r="G7" s="84">
        <f>ROUNDUP('Subsidy points'!G5*L7,0)</f>
        <v>267</v>
      </c>
      <c r="H7" s="84">
        <f>ROUNDUP('Subsidy points'!H5*L7,0)</f>
        <v>167</v>
      </c>
      <c r="I7" s="84">
        <f>ROUNDUP('Subsidy points'!I5*L7,0)</f>
        <v>134</v>
      </c>
      <c r="J7" s="84">
        <f>ROUNDUP('Subsidy points'!J5*L7,0)</f>
        <v>234</v>
      </c>
      <c r="K7" s="83">
        <f t="shared" si="0"/>
        <v>300</v>
      </c>
      <c r="L7" s="2">
        <v>33.33</v>
      </c>
    </row>
    <row r="8" spans="1:28" ht="12.5" thickBot="1" x14ac:dyDescent="0.35">
      <c r="A8" s="138"/>
      <c r="B8" s="76" t="s">
        <v>55</v>
      </c>
      <c r="C8" s="105">
        <f>D7+0.01</f>
        <v>1631.01</v>
      </c>
      <c r="D8" s="82">
        <f>T29</f>
        <v>1957</v>
      </c>
      <c r="E8" s="85">
        <f>ROUNDUP('Subsidy points'!E6*L8,0)</f>
        <v>267</v>
      </c>
      <c r="F8" s="85">
        <f>ROUNDUP('Subsidy points'!F6*L8,0)</f>
        <v>167</v>
      </c>
      <c r="G8" s="85">
        <f>ROUNDUP('Subsidy points'!G6*L8,0)</f>
        <v>234</v>
      </c>
      <c r="H8" s="85">
        <f>ROUNDUP('Subsidy points'!H6*L8,0)</f>
        <v>134</v>
      </c>
      <c r="I8" s="85">
        <f>ROUNDUP('Subsidy points'!I6*L8,0)</f>
        <v>100</v>
      </c>
      <c r="J8" s="85">
        <f>ROUNDUP('Subsidy points'!J6*L8,0)</f>
        <v>200</v>
      </c>
      <c r="K8" s="83">
        <f t="shared" si="0"/>
        <v>267</v>
      </c>
      <c r="L8" s="2">
        <v>33.33</v>
      </c>
      <c r="O8" s="3"/>
      <c r="P8" s="3"/>
    </row>
    <row r="9" spans="1:28" ht="12.5" thickBot="1" x14ac:dyDescent="0.35">
      <c r="A9" s="65"/>
      <c r="B9" s="66"/>
      <c r="C9" s="106"/>
      <c r="D9" s="67"/>
      <c r="E9" s="65"/>
      <c r="F9" s="65"/>
      <c r="G9" s="65"/>
      <c r="H9" s="65"/>
      <c r="I9" s="65"/>
      <c r="J9" s="65"/>
      <c r="K9" s="65"/>
      <c r="L9" s="2" t="s">
        <v>22</v>
      </c>
    </row>
    <row r="10" spans="1:28" ht="21.5" thickBot="1" x14ac:dyDescent="0.35">
      <c r="A10" s="127">
        <v>2</v>
      </c>
      <c r="B10" s="86" t="s">
        <v>13</v>
      </c>
      <c r="C10" s="103">
        <v>0</v>
      </c>
      <c r="D10" s="80">
        <f>Q30</f>
        <v>1322</v>
      </c>
      <c r="E10" s="89">
        <f>ROUNDUP('Subsidy points'!E8*L5,0)</f>
        <v>400</v>
      </c>
      <c r="F10" s="83">
        <f>ROUNDUP('Subsidy points'!F8*L5,0)</f>
        <v>300</v>
      </c>
      <c r="G10" s="83">
        <f>ROUNDUP('Subsidy points'!G8*L5,0)</f>
        <v>367</v>
      </c>
      <c r="H10" s="83">
        <f>ROUNDUP('Subsidy points'!H8*L5,0)</f>
        <v>234</v>
      </c>
      <c r="I10" s="83">
        <f>ROUNDUP('Subsidy points'!I8*L5,0)</f>
        <v>234</v>
      </c>
      <c r="J10" s="83">
        <f>ROUNDUP('Subsidy points'!J8*L5,0)</f>
        <v>334</v>
      </c>
      <c r="K10" s="83">
        <f>E10</f>
        <v>400</v>
      </c>
      <c r="L10" s="2">
        <v>33.33</v>
      </c>
      <c r="M10" s="51"/>
      <c r="O10" s="6" t="s">
        <v>17</v>
      </c>
      <c r="P10" s="7">
        <v>1</v>
      </c>
      <c r="Q10" s="7">
        <v>0.75</v>
      </c>
      <c r="R10" s="7">
        <v>1</v>
      </c>
      <c r="S10" s="7">
        <v>1.25</v>
      </c>
      <c r="T10" s="7">
        <v>1.5</v>
      </c>
      <c r="W10" s="95" t="s">
        <v>23</v>
      </c>
      <c r="X10" s="139">
        <v>0.75</v>
      </c>
      <c r="Y10" s="139">
        <v>1</v>
      </c>
      <c r="Z10" s="139">
        <v>1.25</v>
      </c>
      <c r="AA10" s="139">
        <v>1.5</v>
      </c>
    </row>
    <row r="11" spans="1:28" ht="12.5" thickBot="1" x14ac:dyDescent="0.35">
      <c r="A11" s="128"/>
      <c r="B11" s="87" t="s">
        <v>53</v>
      </c>
      <c r="C11" s="104">
        <f>D10+0.01</f>
        <v>1322.01</v>
      </c>
      <c r="D11" s="81">
        <f>R30</f>
        <v>1763</v>
      </c>
      <c r="E11" s="90">
        <f>ROUNDUP('Subsidy points'!E9*L6,0)</f>
        <v>367</v>
      </c>
      <c r="F11" s="84">
        <f>ROUNDUP('Subsidy points'!F9*L6,0)</f>
        <v>267</v>
      </c>
      <c r="G11" s="84">
        <f>ROUNDUP('Subsidy points'!G9*L6,0)</f>
        <v>334</v>
      </c>
      <c r="H11" s="84">
        <f>ROUNDUP('Subsidy points'!H9*L6,0)</f>
        <v>200</v>
      </c>
      <c r="I11" s="84">
        <f>ROUNDUP('Subsidy points'!I9*L6,0)</f>
        <v>200</v>
      </c>
      <c r="J11" s="84">
        <f>ROUNDUP('Subsidy points'!J9*L6,0)</f>
        <v>300</v>
      </c>
      <c r="K11" s="83">
        <f t="shared" ref="K11:K13" si="1">E11</f>
        <v>367</v>
      </c>
      <c r="L11" s="2">
        <v>33.33</v>
      </c>
      <c r="O11" s="5">
        <v>1</v>
      </c>
      <c r="P11" s="4">
        <v>1255</v>
      </c>
      <c r="Q11" s="4">
        <v>978.125</v>
      </c>
      <c r="R11" s="4">
        <v>1304.1666666666667</v>
      </c>
      <c r="S11" s="4">
        <v>1630.2083333333333</v>
      </c>
      <c r="T11" s="4">
        <v>1956.25</v>
      </c>
      <c r="W11" s="95" t="s">
        <v>24</v>
      </c>
      <c r="X11" s="140"/>
      <c r="Y11" s="140"/>
      <c r="Z11" s="140"/>
      <c r="AA11" s="140"/>
    </row>
    <row r="12" spans="1:28" ht="12.5" thickBot="1" x14ac:dyDescent="0.35">
      <c r="A12" s="128"/>
      <c r="B12" s="87" t="s">
        <v>54</v>
      </c>
      <c r="C12" s="104">
        <f>D11+0.01</f>
        <v>1763.01</v>
      </c>
      <c r="D12" s="81">
        <f>S30</f>
        <v>2204</v>
      </c>
      <c r="E12" s="90">
        <f>ROUNDUP('Subsidy points'!E10*L7,0)</f>
        <v>334</v>
      </c>
      <c r="F12" s="84">
        <f>ROUNDUP('Subsidy points'!F10*L7,0)</f>
        <v>234</v>
      </c>
      <c r="G12" s="84">
        <f>ROUNDUP('Subsidy points'!G10*L7,0)</f>
        <v>300</v>
      </c>
      <c r="H12" s="84">
        <f>ROUNDUP('Subsidy points'!H10*L7,0)</f>
        <v>167</v>
      </c>
      <c r="I12" s="84">
        <f>ROUNDUP('Subsidy points'!I10*L7,0)</f>
        <v>167</v>
      </c>
      <c r="J12" s="84">
        <f>ROUNDUP('Subsidy points'!J10*L7,0)</f>
        <v>267</v>
      </c>
      <c r="K12" s="83">
        <f t="shared" si="1"/>
        <v>334</v>
      </c>
      <c r="L12" s="2">
        <v>33.33</v>
      </c>
      <c r="O12" s="5">
        <v>2</v>
      </c>
      <c r="P12" s="4">
        <v>1703.3333333333333</v>
      </c>
      <c r="Q12" s="4">
        <v>1321.875</v>
      </c>
      <c r="R12" s="4">
        <v>1762.5</v>
      </c>
      <c r="S12" s="4">
        <v>2203.125</v>
      </c>
      <c r="T12" s="4">
        <v>2643.75</v>
      </c>
      <c r="W12" s="5">
        <v>1</v>
      </c>
      <c r="X12" s="96">
        <v>941.25</v>
      </c>
      <c r="Y12" s="97">
        <v>1255</v>
      </c>
      <c r="Z12" s="98">
        <v>1568.75</v>
      </c>
      <c r="AA12" s="98">
        <v>1882.5</v>
      </c>
      <c r="AB12" s="2" t="str">
        <f>IF(Z12=S11,"yes","no")</f>
        <v>no</v>
      </c>
    </row>
    <row r="13" spans="1:28" ht="12.5" thickBot="1" x14ac:dyDescent="0.35">
      <c r="A13" s="129"/>
      <c r="B13" s="88" t="s">
        <v>55</v>
      </c>
      <c r="C13" s="105">
        <f>D12+0.01</f>
        <v>2204.0100000000002</v>
      </c>
      <c r="D13" s="82">
        <f>T30</f>
        <v>2644</v>
      </c>
      <c r="E13" s="91">
        <f>ROUNDUP('Subsidy points'!E11*L8,0)</f>
        <v>300</v>
      </c>
      <c r="F13" s="85">
        <f>ROUNDUP('Subsidy points'!F11*L8,0)</f>
        <v>200</v>
      </c>
      <c r="G13" s="85">
        <f>ROUNDUP('Subsidy points'!G11*L8,0)</f>
        <v>267</v>
      </c>
      <c r="H13" s="85">
        <f>ROUNDUP('Subsidy points'!H11*L8,0)</f>
        <v>134</v>
      </c>
      <c r="I13" s="85">
        <f>ROUNDUP('Subsidy points'!I11*L8,0)</f>
        <v>134</v>
      </c>
      <c r="J13" s="85">
        <f>ROUNDUP('Subsidy points'!J11*L8,0)</f>
        <v>234</v>
      </c>
      <c r="K13" s="83">
        <f t="shared" si="1"/>
        <v>300</v>
      </c>
      <c r="L13" s="2">
        <v>33.33</v>
      </c>
      <c r="O13" s="5">
        <v>3</v>
      </c>
      <c r="P13" s="4">
        <v>2151.6666666666665</v>
      </c>
      <c r="Q13" s="4">
        <v>1665.625</v>
      </c>
      <c r="R13" s="4">
        <v>2220.8333333333335</v>
      </c>
      <c r="S13" s="4">
        <v>2776.0416666666665</v>
      </c>
      <c r="T13" s="4">
        <v>3331.25</v>
      </c>
      <c r="W13" s="5">
        <v>2</v>
      </c>
      <c r="X13" s="98">
        <v>1277.5</v>
      </c>
      <c r="Y13" s="97">
        <v>1703.33</v>
      </c>
      <c r="Z13" s="98">
        <v>2129.17</v>
      </c>
      <c r="AA13" s="98">
        <v>2555</v>
      </c>
      <c r="AB13" s="2" t="str">
        <f>IF(Z13=S13,"yes","no")</f>
        <v>no</v>
      </c>
    </row>
    <row r="14" spans="1:28" ht="12.5" thickBot="1" x14ac:dyDescent="0.35">
      <c r="A14" s="66"/>
      <c r="B14" s="66"/>
      <c r="C14" s="106"/>
      <c r="D14" s="67"/>
      <c r="E14" s="65"/>
      <c r="F14" s="65"/>
      <c r="G14" s="65"/>
      <c r="H14" s="65"/>
      <c r="I14" s="65"/>
      <c r="J14" s="65"/>
      <c r="K14" s="65"/>
      <c r="L14" s="2" t="s">
        <v>22</v>
      </c>
      <c r="O14" s="5">
        <v>4</v>
      </c>
      <c r="P14" s="4">
        <v>2600</v>
      </c>
      <c r="Q14" s="4">
        <v>2009.375</v>
      </c>
      <c r="R14" s="4">
        <v>2679.1666666666665</v>
      </c>
      <c r="S14" s="4">
        <v>3348.9583333333335</v>
      </c>
      <c r="T14" s="4">
        <v>4018.75</v>
      </c>
      <c r="W14" s="5">
        <v>3</v>
      </c>
      <c r="X14" s="98">
        <v>1613.75</v>
      </c>
      <c r="Y14" s="97">
        <v>2151.67</v>
      </c>
      <c r="Z14" s="101">
        <v>2689.58</v>
      </c>
      <c r="AA14" s="101">
        <v>3227.5</v>
      </c>
      <c r="AB14" s="2" t="str">
        <f>IF(Z14=S14,"yes","no")</f>
        <v>no</v>
      </c>
    </row>
    <row r="15" spans="1:28" ht="12.5" thickBot="1" x14ac:dyDescent="0.35">
      <c r="A15" s="127">
        <v>3</v>
      </c>
      <c r="B15" s="86" t="s">
        <v>13</v>
      </c>
      <c r="C15" s="103">
        <v>0</v>
      </c>
      <c r="D15" s="80">
        <f>Q31</f>
        <v>1666</v>
      </c>
      <c r="E15" s="83">
        <f>ROUNDUP('Subsidy points'!E13*L15,0)</f>
        <v>434</v>
      </c>
      <c r="F15" s="83">
        <f>ROUNDUP('Subsidy points'!F13*L15,0)</f>
        <v>334</v>
      </c>
      <c r="G15" s="83">
        <f>ROUNDUP('Subsidy points'!G13*L15,0)</f>
        <v>400</v>
      </c>
      <c r="H15" s="83">
        <f>ROUNDUP('Subsidy points'!H13*L15,0)</f>
        <v>300</v>
      </c>
      <c r="I15" s="83">
        <f>ROUNDUP('Subsidy points'!I13*L15,0)</f>
        <v>267</v>
      </c>
      <c r="J15" s="83">
        <f>ROUNDUP('Subsidy points'!J13*L15,0)</f>
        <v>367</v>
      </c>
      <c r="K15" s="83">
        <f>E15</f>
        <v>434</v>
      </c>
      <c r="L15" s="2">
        <v>33.33</v>
      </c>
      <c r="O15" s="5">
        <v>5</v>
      </c>
      <c r="P15" s="4">
        <v>3048.3333333333335</v>
      </c>
      <c r="Q15" s="4">
        <v>2353.125</v>
      </c>
      <c r="R15" s="4">
        <v>3137.5</v>
      </c>
      <c r="S15" s="4">
        <v>3921.875</v>
      </c>
      <c r="T15" s="4">
        <v>4706.25</v>
      </c>
      <c r="W15" s="5">
        <v>4</v>
      </c>
      <c r="X15" s="98">
        <v>1950</v>
      </c>
      <c r="Y15" s="97">
        <v>2600</v>
      </c>
      <c r="Z15" s="101">
        <v>3250</v>
      </c>
      <c r="AA15" s="98">
        <v>3900</v>
      </c>
      <c r="AB15" s="2" t="str">
        <f>IF(Z15=S15,"yes","no")</f>
        <v>no</v>
      </c>
    </row>
    <row r="16" spans="1:28" ht="12.5" thickBot="1" x14ac:dyDescent="0.35">
      <c r="A16" s="128"/>
      <c r="B16" s="87" t="s">
        <v>53</v>
      </c>
      <c r="C16" s="104">
        <f>D15+0.01</f>
        <v>1666.01</v>
      </c>
      <c r="D16" s="81">
        <f>R31</f>
        <v>2221</v>
      </c>
      <c r="E16" s="84">
        <f>ROUNDUP('Subsidy points'!E14*L16,0)</f>
        <v>400</v>
      </c>
      <c r="F16" s="84">
        <f>ROUNDUP('Subsidy points'!F14*L16,0)</f>
        <v>300</v>
      </c>
      <c r="G16" s="84">
        <f>ROUNDUP('Subsidy points'!G14*L16,0)</f>
        <v>367</v>
      </c>
      <c r="H16" s="84">
        <f>ROUNDUP('Subsidy points'!H14*L16,0)</f>
        <v>267</v>
      </c>
      <c r="I16" s="84">
        <f>ROUNDUP('Subsidy points'!I14*L16,0)</f>
        <v>234</v>
      </c>
      <c r="J16" s="84">
        <f>ROUNDUP('Subsidy points'!J14*L16,0)</f>
        <v>334</v>
      </c>
      <c r="K16" s="83">
        <f t="shared" ref="K16:K18" si="2">E16</f>
        <v>400</v>
      </c>
      <c r="L16" s="2">
        <v>33.33</v>
      </c>
      <c r="O16" s="5">
        <v>6</v>
      </c>
      <c r="P16" s="4">
        <v>3496.6666666666665</v>
      </c>
      <c r="Q16" s="4">
        <v>2696.875</v>
      </c>
      <c r="R16" s="4">
        <v>3595.8333333333335</v>
      </c>
      <c r="S16" s="4">
        <v>4494.791666666667</v>
      </c>
      <c r="T16" s="4">
        <v>5393.75</v>
      </c>
      <c r="V16" s="2" t="s">
        <v>22</v>
      </c>
      <c r="W16" s="5">
        <v>5</v>
      </c>
      <c r="X16" s="98">
        <v>2286.25</v>
      </c>
      <c r="Y16" s="97">
        <v>3048.33</v>
      </c>
      <c r="Z16" s="98">
        <v>3810.42</v>
      </c>
      <c r="AA16" s="98">
        <v>4572.5</v>
      </c>
      <c r="AB16" s="2" t="str">
        <f t="shared" ref="AB16:AB25" si="3">IF(Z16=S15,"yes","no")</f>
        <v>no</v>
      </c>
    </row>
    <row r="17" spans="1:28" ht="12.5" thickBot="1" x14ac:dyDescent="0.35">
      <c r="A17" s="128"/>
      <c r="B17" s="87" t="s">
        <v>54</v>
      </c>
      <c r="C17" s="104">
        <f>D16+0.01</f>
        <v>2221.0100000000002</v>
      </c>
      <c r="D17" s="81">
        <f>S31</f>
        <v>2777</v>
      </c>
      <c r="E17" s="84">
        <f>ROUNDUP('Subsidy points'!E15*L17,0)</f>
        <v>367</v>
      </c>
      <c r="F17" s="84">
        <f>ROUNDUP('Subsidy points'!F15*L17,0)</f>
        <v>267</v>
      </c>
      <c r="G17" s="84">
        <f>ROUNDUP('Subsidy points'!G15*L17,0)</f>
        <v>334</v>
      </c>
      <c r="H17" s="84">
        <f>ROUNDUP('Subsidy points'!H15*L17,0)</f>
        <v>234</v>
      </c>
      <c r="I17" s="84">
        <f>ROUNDUP('Subsidy points'!I15*L17,0)</f>
        <v>200</v>
      </c>
      <c r="J17" s="84">
        <f>ROUNDUP('Subsidy points'!J15*L17,0)</f>
        <v>300</v>
      </c>
      <c r="K17" s="83">
        <f t="shared" si="2"/>
        <v>367</v>
      </c>
      <c r="L17" s="2">
        <v>33.33</v>
      </c>
      <c r="O17" s="5">
        <v>7</v>
      </c>
      <c r="P17" s="4">
        <v>3945</v>
      </c>
      <c r="Q17" s="4">
        <v>3040.625</v>
      </c>
      <c r="R17" s="4">
        <v>4054.1666666666665</v>
      </c>
      <c r="S17" s="4">
        <v>5067.708333333333</v>
      </c>
      <c r="T17" s="4">
        <v>6081.25</v>
      </c>
      <c r="W17" s="5">
        <v>6</v>
      </c>
      <c r="X17" s="98">
        <v>2622.5</v>
      </c>
      <c r="Y17" s="97">
        <v>3496.67</v>
      </c>
      <c r="Z17" s="98">
        <v>4370.83</v>
      </c>
      <c r="AA17" s="98">
        <v>5245</v>
      </c>
      <c r="AB17" s="2" t="str">
        <f t="shared" si="3"/>
        <v>no</v>
      </c>
    </row>
    <row r="18" spans="1:28" ht="12.5" thickBot="1" x14ac:dyDescent="0.35">
      <c r="A18" s="129"/>
      <c r="B18" s="88" t="s">
        <v>55</v>
      </c>
      <c r="C18" s="105">
        <f>D17+0.01</f>
        <v>2777.01</v>
      </c>
      <c r="D18" s="117">
        <f>T31</f>
        <v>3332</v>
      </c>
      <c r="E18" s="85">
        <f>ROUNDUP('Subsidy points'!E16*L18,0)</f>
        <v>334</v>
      </c>
      <c r="F18" s="85">
        <f>ROUNDUP('Subsidy points'!F16*L18,0)</f>
        <v>234</v>
      </c>
      <c r="G18" s="85">
        <f>ROUNDUP('Subsidy points'!G16*L18,0)</f>
        <v>300</v>
      </c>
      <c r="H18" s="85">
        <f>ROUNDUP('Subsidy points'!H16*L18,0)</f>
        <v>200</v>
      </c>
      <c r="I18" s="85">
        <f>ROUNDUP('Subsidy points'!I16*L18,0)</f>
        <v>167</v>
      </c>
      <c r="J18" s="85">
        <f>ROUNDUP('Subsidy points'!J16*L18,0)</f>
        <v>267</v>
      </c>
      <c r="K18" s="83">
        <f t="shared" si="2"/>
        <v>334</v>
      </c>
      <c r="L18" s="2">
        <v>33.33</v>
      </c>
      <c r="O18" s="5">
        <v>8</v>
      </c>
      <c r="P18" s="4">
        <v>4393.333333333333</v>
      </c>
      <c r="Q18" s="4">
        <v>3384.375</v>
      </c>
      <c r="R18" s="4">
        <v>4512.5</v>
      </c>
      <c r="S18" s="4">
        <v>5640.625</v>
      </c>
      <c r="T18" s="4">
        <v>6768.75</v>
      </c>
      <c r="W18" s="5">
        <v>7</v>
      </c>
      <c r="X18" s="101">
        <v>2958.75</v>
      </c>
      <c r="Y18" s="97">
        <v>3945</v>
      </c>
      <c r="Z18" s="98">
        <v>4931.25</v>
      </c>
      <c r="AA18" s="98">
        <v>5917.5</v>
      </c>
      <c r="AB18" s="2" t="str">
        <f t="shared" si="3"/>
        <v>no</v>
      </c>
    </row>
    <row r="19" spans="1:28" ht="12.5" thickBot="1" x14ac:dyDescent="0.35">
      <c r="A19" s="66"/>
      <c r="B19" s="66"/>
      <c r="C19" s="106"/>
      <c r="D19" s="67"/>
      <c r="E19" s="65"/>
      <c r="F19" s="65"/>
      <c r="G19" s="65"/>
      <c r="H19" s="65"/>
      <c r="I19" s="65"/>
      <c r="J19" s="65"/>
      <c r="K19" s="65"/>
      <c r="L19" s="2" t="s">
        <v>22</v>
      </c>
      <c r="O19" s="5">
        <v>9</v>
      </c>
      <c r="P19" s="4">
        <v>4841.666666666667</v>
      </c>
      <c r="Q19" s="4">
        <v>3728.125</v>
      </c>
      <c r="R19" s="4">
        <v>4970.833333333333</v>
      </c>
      <c r="S19" s="4">
        <v>6213.541666666667</v>
      </c>
      <c r="T19" s="4">
        <v>7456.25</v>
      </c>
      <c r="W19" s="5">
        <v>8</v>
      </c>
      <c r="X19" s="101">
        <v>3295</v>
      </c>
      <c r="Y19" s="97">
        <v>4393.33</v>
      </c>
      <c r="Z19" s="98">
        <v>5491.67</v>
      </c>
      <c r="AA19" s="98">
        <v>6590</v>
      </c>
      <c r="AB19" s="2" t="str">
        <f t="shared" si="3"/>
        <v>no</v>
      </c>
    </row>
    <row r="20" spans="1:28" ht="12.5" thickBot="1" x14ac:dyDescent="0.35">
      <c r="A20" s="127">
        <v>4</v>
      </c>
      <c r="B20" s="86" t="s">
        <v>13</v>
      </c>
      <c r="C20" s="103">
        <v>0</v>
      </c>
      <c r="D20" s="80">
        <f>Q32</f>
        <v>2010</v>
      </c>
      <c r="E20" s="83">
        <f>ROUNDUP('Subsidy points'!E18*L20,0)</f>
        <v>467</v>
      </c>
      <c r="F20" s="83">
        <f>ROUNDUP('Subsidy points'!F18*L20,0)</f>
        <v>367</v>
      </c>
      <c r="G20" s="83">
        <f>ROUNDUP('Subsidy points'!G18*L20,0)</f>
        <v>434</v>
      </c>
      <c r="H20" s="83">
        <f>ROUNDUP('Subsidy points'!H18*L20,0)</f>
        <v>334</v>
      </c>
      <c r="I20" s="83">
        <f>ROUNDUP('Subsidy points'!I18*L20,0)</f>
        <v>300</v>
      </c>
      <c r="J20" s="83">
        <f>ROUNDUP('Subsidy points'!J18*L20,0)</f>
        <v>400</v>
      </c>
      <c r="K20" s="83">
        <f>E20</f>
        <v>467</v>
      </c>
      <c r="L20" s="2">
        <v>33.33</v>
      </c>
      <c r="O20" s="5">
        <v>10</v>
      </c>
      <c r="P20" s="4">
        <v>5290</v>
      </c>
      <c r="Q20" s="4">
        <v>4071.875</v>
      </c>
      <c r="R20" s="4">
        <v>5429.166666666667</v>
      </c>
      <c r="S20" s="4">
        <v>6786.458333333333</v>
      </c>
      <c r="T20" s="4">
        <v>8143.75</v>
      </c>
      <c r="W20" s="5">
        <v>9</v>
      </c>
      <c r="X20" s="98">
        <v>3631.25</v>
      </c>
      <c r="Y20" s="97">
        <v>4841.67</v>
      </c>
      <c r="Z20" s="98">
        <v>6052.08</v>
      </c>
      <c r="AA20" s="98">
        <v>7262.5</v>
      </c>
      <c r="AB20" s="2" t="str">
        <f t="shared" si="3"/>
        <v>no</v>
      </c>
    </row>
    <row r="21" spans="1:28" ht="12.5" thickBot="1" x14ac:dyDescent="0.35">
      <c r="A21" s="128"/>
      <c r="B21" s="87" t="s">
        <v>53</v>
      </c>
      <c r="C21" s="104">
        <f>D20+0.01</f>
        <v>2010.01</v>
      </c>
      <c r="D21" s="81">
        <f>R32</f>
        <v>2680</v>
      </c>
      <c r="E21" s="84">
        <f>ROUNDUP('Subsidy points'!E19*L21,0)</f>
        <v>434</v>
      </c>
      <c r="F21" s="84">
        <f>ROUNDUP('Subsidy points'!F19*L21,0)</f>
        <v>334</v>
      </c>
      <c r="G21" s="84">
        <f>ROUNDUP('Subsidy points'!G19*L21,0)</f>
        <v>400</v>
      </c>
      <c r="H21" s="84">
        <f>ROUNDUP('Subsidy points'!H19*L21,0)</f>
        <v>300</v>
      </c>
      <c r="I21" s="84">
        <f>ROUNDUP('Subsidy points'!I19*L21,0)</f>
        <v>267</v>
      </c>
      <c r="J21" s="84">
        <f>ROUNDUP('Subsidy points'!J19*L21,0)</f>
        <v>367</v>
      </c>
      <c r="K21" s="83">
        <f t="shared" ref="K21:K23" si="4">E21</f>
        <v>434</v>
      </c>
      <c r="L21" s="2">
        <v>33.33</v>
      </c>
      <c r="O21" s="5">
        <v>11</v>
      </c>
      <c r="P21" s="4">
        <v>5738.333333333333</v>
      </c>
      <c r="Q21" s="4">
        <v>4415.625</v>
      </c>
      <c r="R21" s="4">
        <v>5887.5</v>
      </c>
      <c r="S21" s="4">
        <v>7359.375</v>
      </c>
      <c r="T21" s="4">
        <v>8831.25</v>
      </c>
      <c r="W21" s="5">
        <v>10</v>
      </c>
      <c r="X21" s="98">
        <v>3967.5</v>
      </c>
      <c r="Y21" s="97">
        <v>5290</v>
      </c>
      <c r="Z21" s="98">
        <v>6612.5</v>
      </c>
      <c r="AA21" s="98">
        <v>7935</v>
      </c>
      <c r="AB21" s="2" t="str">
        <f t="shared" si="3"/>
        <v>no</v>
      </c>
    </row>
    <row r="22" spans="1:28" ht="12.5" thickBot="1" x14ac:dyDescent="0.35">
      <c r="A22" s="128"/>
      <c r="B22" s="87" t="s">
        <v>54</v>
      </c>
      <c r="C22" s="104">
        <f>D21+0.01</f>
        <v>2680.01</v>
      </c>
      <c r="D22" s="116">
        <f>S32</f>
        <v>3349</v>
      </c>
      <c r="E22" s="84">
        <f>ROUNDUP('Subsidy points'!E20*L22,0)</f>
        <v>400</v>
      </c>
      <c r="F22" s="84">
        <f>ROUNDUP('Subsidy points'!F20*L22,0)</f>
        <v>300</v>
      </c>
      <c r="G22" s="84">
        <f>ROUNDUP('Subsidy points'!G20*L22,0)</f>
        <v>367</v>
      </c>
      <c r="H22" s="84">
        <f>ROUNDUP('Subsidy points'!H20*L22,0)</f>
        <v>267</v>
      </c>
      <c r="I22" s="84">
        <f>ROUNDUP('Subsidy points'!I20*L22,0)</f>
        <v>234</v>
      </c>
      <c r="J22" s="84">
        <f>ROUNDUP('Subsidy points'!J20*L22,0)</f>
        <v>334</v>
      </c>
      <c r="K22" s="83">
        <f t="shared" si="4"/>
        <v>400</v>
      </c>
      <c r="L22" s="2">
        <v>33.33</v>
      </c>
      <c r="O22" s="5">
        <v>12</v>
      </c>
      <c r="P22" s="4">
        <v>6186.666666666667</v>
      </c>
      <c r="Q22" s="4">
        <v>4759.375</v>
      </c>
      <c r="R22" s="4">
        <v>6345.833333333333</v>
      </c>
      <c r="S22" s="4">
        <v>7932.291666666667</v>
      </c>
      <c r="T22" s="4">
        <v>9518.75</v>
      </c>
      <c r="W22" s="5">
        <v>11</v>
      </c>
      <c r="X22" s="98">
        <v>4303.75</v>
      </c>
      <c r="Y22" s="97">
        <v>5738.33</v>
      </c>
      <c r="Z22" s="98">
        <v>7172.92</v>
      </c>
      <c r="AA22" s="98">
        <v>8607.5</v>
      </c>
      <c r="AB22" s="2" t="str">
        <f t="shared" si="3"/>
        <v>no</v>
      </c>
    </row>
    <row r="23" spans="1:28" ht="12.5" thickBot="1" x14ac:dyDescent="0.35">
      <c r="A23" s="129"/>
      <c r="B23" s="88" t="s">
        <v>55</v>
      </c>
      <c r="C23" s="105">
        <f>D22+0.01</f>
        <v>3349.01</v>
      </c>
      <c r="D23" s="82">
        <f>T32</f>
        <v>4019</v>
      </c>
      <c r="E23" s="85">
        <f>ROUNDUP('Subsidy points'!E21*L23,0)</f>
        <v>367</v>
      </c>
      <c r="F23" s="85">
        <f>ROUNDUP('Subsidy points'!F21*L23,0)</f>
        <v>267</v>
      </c>
      <c r="G23" s="85">
        <f>ROUNDUP('Subsidy points'!G21*L23,0)</f>
        <v>334</v>
      </c>
      <c r="H23" s="85">
        <f>ROUNDUP('Subsidy points'!H21*L23,0)</f>
        <v>234</v>
      </c>
      <c r="I23" s="85">
        <f>ROUNDUP('Subsidy points'!I21*L23,0)</f>
        <v>200</v>
      </c>
      <c r="J23" s="85">
        <f>ROUNDUP('Subsidy points'!J21*L23,0)</f>
        <v>300</v>
      </c>
      <c r="K23" s="83">
        <f t="shared" si="4"/>
        <v>367</v>
      </c>
      <c r="L23" s="2">
        <v>33.33</v>
      </c>
      <c r="O23" s="5">
        <v>13</v>
      </c>
      <c r="P23" s="4">
        <v>6635</v>
      </c>
      <c r="Q23" s="4">
        <v>5103.125</v>
      </c>
      <c r="R23" s="4">
        <v>6804.166666666667</v>
      </c>
      <c r="S23" s="4">
        <v>8505.2083333333339</v>
      </c>
      <c r="T23" s="4">
        <v>10206.25</v>
      </c>
      <c r="W23" s="5">
        <v>12</v>
      </c>
      <c r="X23" s="98">
        <v>4640</v>
      </c>
      <c r="Y23" s="97">
        <v>6186.67</v>
      </c>
      <c r="Z23" s="98">
        <v>7733.33</v>
      </c>
      <c r="AA23" s="98">
        <v>9280</v>
      </c>
      <c r="AB23" s="2" t="str">
        <f t="shared" si="3"/>
        <v>no</v>
      </c>
    </row>
    <row r="24" spans="1:28" ht="12.5" thickBot="1" x14ac:dyDescent="0.35">
      <c r="A24" s="2" t="s">
        <v>25</v>
      </c>
      <c r="C24" s="107"/>
      <c r="D24" s="12"/>
      <c r="E24" s="1"/>
      <c r="F24" s="1"/>
      <c r="G24" s="1"/>
      <c r="H24" s="1"/>
      <c r="I24" s="1"/>
      <c r="J24" s="1"/>
      <c r="K24" s="1"/>
      <c r="L24" s="2" t="s">
        <v>22</v>
      </c>
      <c r="O24" s="5">
        <v>14</v>
      </c>
      <c r="P24" s="4">
        <v>7083.333333333333</v>
      </c>
      <c r="Q24" s="4">
        <v>5446.875</v>
      </c>
      <c r="R24" s="4">
        <v>7262.5</v>
      </c>
      <c r="S24" s="4">
        <v>9078.125</v>
      </c>
      <c r="T24" s="4">
        <v>10893.75</v>
      </c>
      <c r="W24" s="5">
        <v>13</v>
      </c>
      <c r="X24" s="98">
        <v>4976.25</v>
      </c>
      <c r="Y24" s="97">
        <v>6635</v>
      </c>
      <c r="Z24" s="98">
        <v>8293.75</v>
      </c>
      <c r="AA24" s="98">
        <v>9952.5</v>
      </c>
      <c r="AB24" s="2" t="str">
        <f t="shared" si="3"/>
        <v>no</v>
      </c>
    </row>
    <row r="25" spans="1:28" ht="12.5" thickBot="1" x14ac:dyDescent="0.35">
      <c r="A25" s="127">
        <v>5</v>
      </c>
      <c r="B25" s="86" t="s">
        <v>13</v>
      </c>
      <c r="C25" s="103">
        <f>0</f>
        <v>0</v>
      </c>
      <c r="D25" s="80">
        <f>Q33</f>
        <v>2354</v>
      </c>
      <c r="E25" s="83">
        <f>ROUNDUP('Subsidy points'!E23*L25,0)</f>
        <v>500</v>
      </c>
      <c r="F25" s="83">
        <f>ROUNDUP('Subsidy points'!F23*L25,0)</f>
        <v>400</v>
      </c>
      <c r="G25" s="83">
        <f>ROUNDUP('Subsidy points'!G23*L25,0)</f>
        <v>467</v>
      </c>
      <c r="H25" s="83">
        <f>ROUNDUP('Subsidy points'!H23*L25,0)</f>
        <v>367</v>
      </c>
      <c r="I25" s="83">
        <f>ROUNDUP('Subsidy points'!I23*L25,0)</f>
        <v>334</v>
      </c>
      <c r="J25" s="83">
        <f>ROUNDUP('Subsidy points'!J23*L25,0)</f>
        <v>434</v>
      </c>
      <c r="K25" s="83">
        <f>E25</f>
        <v>500</v>
      </c>
      <c r="L25" s="2">
        <v>33.33</v>
      </c>
      <c r="W25" s="5">
        <v>14</v>
      </c>
      <c r="X25" s="99">
        <v>5312.5</v>
      </c>
      <c r="Y25" s="100">
        <v>7083.33</v>
      </c>
      <c r="Z25" s="99">
        <v>8854.17</v>
      </c>
      <c r="AA25" s="99">
        <v>10625</v>
      </c>
      <c r="AB25" s="2" t="str">
        <f t="shared" si="3"/>
        <v>no</v>
      </c>
    </row>
    <row r="26" spans="1:28" ht="12.5" thickBot="1" x14ac:dyDescent="0.35">
      <c r="A26" s="128"/>
      <c r="B26" s="87" t="s">
        <v>53</v>
      </c>
      <c r="C26" s="104">
        <f>D25+0.01</f>
        <v>2354.0100000000002</v>
      </c>
      <c r="D26" s="81">
        <f>R33</f>
        <v>3138</v>
      </c>
      <c r="E26" s="84">
        <f>ROUNDUP('Subsidy points'!E24*L26,0)</f>
        <v>467</v>
      </c>
      <c r="F26" s="84">
        <f>ROUNDUP('Subsidy points'!F24*L26,0)</f>
        <v>367</v>
      </c>
      <c r="G26" s="84">
        <f>ROUNDUP('Subsidy points'!G24*L26,0)</f>
        <v>434</v>
      </c>
      <c r="H26" s="84">
        <f>ROUNDUP('Subsidy points'!H24*L26,0)</f>
        <v>334</v>
      </c>
      <c r="I26" s="84">
        <f>ROUNDUP('Subsidy points'!I24*L26,0)</f>
        <v>300</v>
      </c>
      <c r="J26" s="84">
        <f>ROUNDUP('Subsidy points'!J24*L26,0)</f>
        <v>400</v>
      </c>
      <c r="K26" s="83">
        <f t="shared" ref="K26:K28" si="5">E26</f>
        <v>467</v>
      </c>
      <c r="L26" s="2">
        <v>33.33</v>
      </c>
    </row>
    <row r="27" spans="1:28" ht="12.5" thickBot="1" x14ac:dyDescent="0.35">
      <c r="A27" s="128"/>
      <c r="B27" s="87" t="s">
        <v>54</v>
      </c>
      <c r="C27" s="104">
        <f>D26+0.01</f>
        <v>3138.01</v>
      </c>
      <c r="D27" s="81">
        <f>S33</f>
        <v>3922</v>
      </c>
      <c r="E27" s="84">
        <f>ROUNDUP('Subsidy points'!E25*L27,0)</f>
        <v>434</v>
      </c>
      <c r="F27" s="84">
        <f>ROUNDUP('Subsidy points'!F25*L27,0)</f>
        <v>334</v>
      </c>
      <c r="G27" s="84">
        <f>ROUNDUP('Subsidy points'!G25*L27,0)</f>
        <v>400</v>
      </c>
      <c r="H27" s="84">
        <f>ROUNDUP('Subsidy points'!H25*L27,0)</f>
        <v>300</v>
      </c>
      <c r="I27" s="84">
        <f>ROUNDUP('Subsidy points'!I25*L27,0)</f>
        <v>267</v>
      </c>
      <c r="J27" s="84">
        <f>ROUNDUP('Subsidy points'!J25*L27,0)</f>
        <v>367</v>
      </c>
      <c r="K27" s="83">
        <f t="shared" si="5"/>
        <v>434</v>
      </c>
      <c r="L27" s="2">
        <v>33.33</v>
      </c>
      <c r="O27" s="2" t="s">
        <v>19</v>
      </c>
    </row>
    <row r="28" spans="1:28" ht="12.75" customHeight="1" thickBot="1" x14ac:dyDescent="0.35">
      <c r="A28" s="129"/>
      <c r="B28" s="88" t="s">
        <v>55</v>
      </c>
      <c r="C28" s="105">
        <f>D27+0.01</f>
        <v>3922.01</v>
      </c>
      <c r="D28" s="82">
        <f>T33</f>
        <v>4707</v>
      </c>
      <c r="E28" s="85">
        <f>ROUNDUP('Subsidy points'!E26*L28,0)</f>
        <v>400</v>
      </c>
      <c r="F28" s="85">
        <f>ROUNDUP('Subsidy points'!F26*L28,0)</f>
        <v>300</v>
      </c>
      <c r="G28" s="85">
        <f>ROUNDUP('Subsidy points'!G26*L28,0)</f>
        <v>367</v>
      </c>
      <c r="H28" s="85">
        <f>ROUNDUP('Subsidy points'!H26*L28,0)</f>
        <v>267</v>
      </c>
      <c r="I28" s="85">
        <f>ROUNDUP('Subsidy points'!I26*L28,0)</f>
        <v>234</v>
      </c>
      <c r="J28" s="85">
        <f>ROUNDUP('Subsidy points'!J26*L28,0)</f>
        <v>334</v>
      </c>
      <c r="K28" s="83">
        <f t="shared" si="5"/>
        <v>400</v>
      </c>
      <c r="L28" s="2">
        <v>33.33</v>
      </c>
      <c r="O28" s="6" t="s">
        <v>17</v>
      </c>
      <c r="Q28" s="59">
        <v>0.75</v>
      </c>
      <c r="R28" s="59">
        <v>1</v>
      </c>
      <c r="S28" s="59">
        <v>1.25</v>
      </c>
      <c r="T28" s="59">
        <v>1.5</v>
      </c>
    </row>
    <row r="29" spans="1:28" ht="12.5" thickBot="1" x14ac:dyDescent="0.35">
      <c r="A29" s="66"/>
      <c r="B29" s="66"/>
      <c r="C29" s="106"/>
      <c r="D29" s="67"/>
      <c r="E29" s="65"/>
      <c r="F29" s="65"/>
      <c r="G29" s="65"/>
      <c r="H29" s="65"/>
      <c r="I29" s="65"/>
      <c r="J29" s="65"/>
      <c r="K29" s="65"/>
      <c r="L29" s="2" t="s">
        <v>22</v>
      </c>
      <c r="O29" s="5">
        <v>1</v>
      </c>
      <c r="Q29" s="4">
        <f>ISO.CEILING(Q11)</f>
        <v>979</v>
      </c>
      <c r="R29" s="4">
        <f t="shared" ref="R29:T29" si="6">ISO.CEILING(R11)</f>
        <v>1305</v>
      </c>
      <c r="S29" s="4">
        <f t="shared" si="6"/>
        <v>1631</v>
      </c>
      <c r="T29" s="4">
        <f t="shared" si="6"/>
        <v>1957</v>
      </c>
    </row>
    <row r="30" spans="1:28" ht="12.5" thickBot="1" x14ac:dyDescent="0.35">
      <c r="A30" s="127">
        <v>6</v>
      </c>
      <c r="B30" s="86" t="s">
        <v>13</v>
      </c>
      <c r="C30" s="103">
        <v>0</v>
      </c>
      <c r="D30" s="115">
        <f>Q34</f>
        <v>2697</v>
      </c>
      <c r="E30" s="83">
        <f>ROUNDUP('Subsidy points'!E28*L30,0)</f>
        <v>500</v>
      </c>
      <c r="F30" s="83">
        <f>ROUNDUP('Subsidy points'!F28*L30,0)</f>
        <v>400</v>
      </c>
      <c r="G30" s="83">
        <f>ROUNDUP('Subsidy points'!G28*L30,0)</f>
        <v>467</v>
      </c>
      <c r="H30" s="83">
        <f>ROUNDUP('Subsidy points'!H28*L30,0)</f>
        <v>367</v>
      </c>
      <c r="I30" s="83">
        <f>ROUNDUP('Subsidy points'!I28*L30,0)</f>
        <v>334</v>
      </c>
      <c r="J30" s="83">
        <f>ROUNDUP('Subsidy points'!J28*L30,0)</f>
        <v>434</v>
      </c>
      <c r="K30" s="83">
        <f>E30</f>
        <v>500</v>
      </c>
      <c r="L30" s="2">
        <v>33.33</v>
      </c>
      <c r="O30" s="5">
        <v>2</v>
      </c>
      <c r="Q30" s="4">
        <f t="shared" ref="Q30:T42" si="7">ISO.CEILING(Q12)</f>
        <v>1322</v>
      </c>
      <c r="R30" s="4">
        <f t="shared" si="7"/>
        <v>1763</v>
      </c>
      <c r="S30" s="4">
        <f t="shared" si="7"/>
        <v>2204</v>
      </c>
      <c r="T30" s="4">
        <f t="shared" si="7"/>
        <v>2644</v>
      </c>
    </row>
    <row r="31" spans="1:28" ht="12.5" thickBot="1" x14ac:dyDescent="0.35">
      <c r="A31" s="128"/>
      <c r="B31" s="87" t="s">
        <v>53</v>
      </c>
      <c r="C31" s="104">
        <f>D30+0.01</f>
        <v>2697.01</v>
      </c>
      <c r="D31" s="116">
        <f>R34</f>
        <v>3596</v>
      </c>
      <c r="E31" s="84">
        <f>ROUNDUP('Subsidy points'!E29*L31,0)</f>
        <v>467</v>
      </c>
      <c r="F31" s="84">
        <f>ROUNDUP('Subsidy points'!F29*L31,0)</f>
        <v>367</v>
      </c>
      <c r="G31" s="84">
        <f>ROUNDUP('Subsidy points'!G29*L31,0)</f>
        <v>434</v>
      </c>
      <c r="H31" s="84">
        <f>ROUNDUP('Subsidy points'!H29*L31,0)</f>
        <v>334</v>
      </c>
      <c r="I31" s="84">
        <f>ROUNDUP('Subsidy points'!I29*L31,0)</f>
        <v>300</v>
      </c>
      <c r="J31" s="84">
        <f>ROUNDUP('Subsidy points'!J29*L31,0)</f>
        <v>400</v>
      </c>
      <c r="K31" s="83">
        <f t="shared" ref="K31:K33" si="8">E31</f>
        <v>467</v>
      </c>
      <c r="L31" s="2">
        <v>33.33</v>
      </c>
      <c r="O31" s="5">
        <v>3</v>
      </c>
      <c r="Q31" s="4">
        <f t="shared" si="7"/>
        <v>1666</v>
      </c>
      <c r="R31" s="4">
        <f t="shared" si="7"/>
        <v>2221</v>
      </c>
      <c r="S31" s="4">
        <f t="shared" si="7"/>
        <v>2777</v>
      </c>
      <c r="T31" s="4">
        <f t="shared" si="7"/>
        <v>3332</v>
      </c>
      <c r="W31" s="4"/>
    </row>
    <row r="32" spans="1:28" ht="12.5" thickBot="1" x14ac:dyDescent="0.35">
      <c r="A32" s="128"/>
      <c r="B32" s="87" t="s">
        <v>54</v>
      </c>
      <c r="C32" s="104">
        <f>D31+0.01</f>
        <v>3596.01</v>
      </c>
      <c r="D32" s="116">
        <f>S34</f>
        <v>4495</v>
      </c>
      <c r="E32" s="84">
        <f>ROUNDUP('Subsidy points'!E30*L32,0)</f>
        <v>434</v>
      </c>
      <c r="F32" s="84">
        <f>ROUNDUP('Subsidy points'!F30*L32,0)</f>
        <v>334</v>
      </c>
      <c r="G32" s="84">
        <f>ROUNDUP('Subsidy points'!G30*L32,0)</f>
        <v>400</v>
      </c>
      <c r="H32" s="84">
        <f>ROUNDUP('Subsidy points'!H30*L32,0)</f>
        <v>300</v>
      </c>
      <c r="I32" s="84">
        <f>ROUNDUP('Subsidy points'!I30*L32,0)</f>
        <v>267</v>
      </c>
      <c r="J32" s="84">
        <f>ROUNDUP('Subsidy points'!J30*L32,0)</f>
        <v>367</v>
      </c>
      <c r="K32" s="83">
        <f t="shared" si="8"/>
        <v>434</v>
      </c>
      <c r="L32" s="2">
        <v>33.33</v>
      </c>
      <c r="O32" s="5">
        <v>4</v>
      </c>
      <c r="Q32" s="4">
        <f t="shared" si="7"/>
        <v>2010</v>
      </c>
      <c r="R32" s="4">
        <f t="shared" si="7"/>
        <v>2680</v>
      </c>
      <c r="S32" s="4">
        <f t="shared" si="7"/>
        <v>3349</v>
      </c>
      <c r="T32" s="4">
        <f t="shared" si="7"/>
        <v>4019</v>
      </c>
      <c r="W32" s="4"/>
    </row>
    <row r="33" spans="1:23" ht="12.5" thickBot="1" x14ac:dyDescent="0.35">
      <c r="A33" s="129"/>
      <c r="B33" s="88" t="s">
        <v>55</v>
      </c>
      <c r="C33" s="105">
        <f>D32+0.01</f>
        <v>4495.01</v>
      </c>
      <c r="D33" s="117">
        <f>T34</f>
        <v>5394</v>
      </c>
      <c r="E33" s="85">
        <f>ROUNDUP('Subsidy points'!E31*L33,0)</f>
        <v>400</v>
      </c>
      <c r="F33" s="85">
        <f>ROUNDUP('Subsidy points'!F31*L33,0)</f>
        <v>300</v>
      </c>
      <c r="G33" s="85">
        <f>ROUNDUP('Subsidy points'!G31*L33,0)</f>
        <v>367</v>
      </c>
      <c r="H33" s="85">
        <f>ROUNDUP('Subsidy points'!H31*L33,0)</f>
        <v>267</v>
      </c>
      <c r="I33" s="85">
        <f>ROUNDUP('Subsidy points'!I31*L33,0)</f>
        <v>234</v>
      </c>
      <c r="J33" s="85">
        <f>ROUNDUP('Subsidy points'!J31*L33,0)</f>
        <v>334</v>
      </c>
      <c r="K33" s="83">
        <f t="shared" si="8"/>
        <v>400</v>
      </c>
      <c r="L33" s="2">
        <v>33.33</v>
      </c>
      <c r="O33" s="5">
        <v>5</v>
      </c>
      <c r="Q33" s="4">
        <f t="shared" si="7"/>
        <v>2354</v>
      </c>
      <c r="R33" s="4">
        <f t="shared" si="7"/>
        <v>3138</v>
      </c>
      <c r="S33" s="4">
        <f t="shared" si="7"/>
        <v>3922</v>
      </c>
      <c r="T33" s="4">
        <f t="shared" si="7"/>
        <v>4707</v>
      </c>
      <c r="W33" s="4"/>
    </row>
    <row r="34" spans="1:23" ht="12.5" thickBot="1" x14ac:dyDescent="0.35">
      <c r="A34" s="66" t="s">
        <v>22</v>
      </c>
      <c r="B34" s="66"/>
      <c r="C34" s="106"/>
      <c r="D34" s="118"/>
      <c r="E34" s="65"/>
      <c r="F34" s="65"/>
      <c r="G34" s="65"/>
      <c r="H34" s="65"/>
      <c r="I34" s="65"/>
      <c r="J34" s="65"/>
      <c r="K34" s="65"/>
      <c r="O34" s="5">
        <v>6</v>
      </c>
      <c r="Q34" s="4">
        <f t="shared" si="7"/>
        <v>2697</v>
      </c>
      <c r="R34" s="4">
        <f t="shared" si="7"/>
        <v>3596</v>
      </c>
      <c r="S34" s="4">
        <f t="shared" si="7"/>
        <v>4495</v>
      </c>
      <c r="T34" s="4">
        <f t="shared" si="7"/>
        <v>5394</v>
      </c>
      <c r="W34" s="4"/>
    </row>
    <row r="35" spans="1:23" ht="12.5" thickBot="1" x14ac:dyDescent="0.35">
      <c r="A35" s="127">
        <v>7</v>
      </c>
      <c r="B35" s="86" t="s">
        <v>13</v>
      </c>
      <c r="C35" s="103">
        <v>0</v>
      </c>
      <c r="D35" s="115">
        <f>Q35</f>
        <v>3041</v>
      </c>
      <c r="E35" s="83">
        <v>375</v>
      </c>
      <c r="F35" s="83">
        <v>300</v>
      </c>
      <c r="G35" s="83">
        <v>350</v>
      </c>
      <c r="H35" s="83">
        <v>275</v>
      </c>
      <c r="I35" s="83">
        <v>250</v>
      </c>
      <c r="J35" s="83">
        <v>325</v>
      </c>
      <c r="K35" s="83">
        <v>375</v>
      </c>
      <c r="O35" s="5">
        <v>7</v>
      </c>
      <c r="Q35" s="4">
        <f t="shared" si="7"/>
        <v>3041</v>
      </c>
      <c r="R35" s="4">
        <f t="shared" si="7"/>
        <v>4055</v>
      </c>
      <c r="S35" s="4">
        <f t="shared" si="7"/>
        <v>5068</v>
      </c>
      <c r="T35" s="4">
        <f t="shared" si="7"/>
        <v>6082</v>
      </c>
      <c r="W35" s="4"/>
    </row>
    <row r="36" spans="1:23" ht="12.5" thickBot="1" x14ac:dyDescent="0.35">
      <c r="A36" s="128"/>
      <c r="B36" s="87" t="s">
        <v>53</v>
      </c>
      <c r="C36" s="104">
        <f>D35+0.01</f>
        <v>3041.01</v>
      </c>
      <c r="D36" s="116">
        <f>R35</f>
        <v>4055</v>
      </c>
      <c r="E36" s="84">
        <v>350</v>
      </c>
      <c r="F36" s="84">
        <v>275</v>
      </c>
      <c r="G36" s="84">
        <v>325</v>
      </c>
      <c r="H36" s="84">
        <v>250</v>
      </c>
      <c r="I36" s="84">
        <v>225</v>
      </c>
      <c r="J36" s="84">
        <v>300</v>
      </c>
      <c r="K36" s="83">
        <v>350</v>
      </c>
      <c r="O36" s="5">
        <v>8</v>
      </c>
      <c r="Q36" s="4">
        <f t="shared" si="7"/>
        <v>3385</v>
      </c>
      <c r="R36" s="4">
        <f t="shared" si="7"/>
        <v>4513</v>
      </c>
      <c r="S36" s="4">
        <f t="shared" si="7"/>
        <v>5641</v>
      </c>
      <c r="T36" s="4">
        <f t="shared" si="7"/>
        <v>6769</v>
      </c>
      <c r="W36" s="4"/>
    </row>
    <row r="37" spans="1:23" ht="12.5" thickBot="1" x14ac:dyDescent="0.35">
      <c r="A37" s="128"/>
      <c r="B37" s="87" t="s">
        <v>54</v>
      </c>
      <c r="C37" s="104">
        <f>D36+0.01</f>
        <v>4055.01</v>
      </c>
      <c r="D37" s="116">
        <f>S35</f>
        <v>5068</v>
      </c>
      <c r="E37" s="84">
        <v>325</v>
      </c>
      <c r="F37" s="84">
        <v>250</v>
      </c>
      <c r="G37" s="84">
        <v>300</v>
      </c>
      <c r="H37" s="84">
        <v>225</v>
      </c>
      <c r="I37" s="84">
        <v>200</v>
      </c>
      <c r="J37" s="84">
        <v>275</v>
      </c>
      <c r="K37" s="83">
        <v>325</v>
      </c>
      <c r="O37" s="5">
        <v>9</v>
      </c>
      <c r="Q37" s="4">
        <f t="shared" si="7"/>
        <v>3729</v>
      </c>
      <c r="R37" s="4">
        <f t="shared" si="7"/>
        <v>4971</v>
      </c>
      <c r="S37" s="4">
        <f t="shared" si="7"/>
        <v>6214</v>
      </c>
      <c r="T37" s="4">
        <f t="shared" si="7"/>
        <v>7457</v>
      </c>
      <c r="W37" s="4"/>
    </row>
    <row r="38" spans="1:23" ht="12.5" thickBot="1" x14ac:dyDescent="0.35">
      <c r="A38" s="129"/>
      <c r="B38" s="88" t="s">
        <v>55</v>
      </c>
      <c r="C38" s="105">
        <f>D37+0.01</f>
        <v>5068.01</v>
      </c>
      <c r="D38" s="117">
        <f>T35</f>
        <v>6082</v>
      </c>
      <c r="E38" s="85">
        <v>300</v>
      </c>
      <c r="F38" s="85">
        <v>225</v>
      </c>
      <c r="G38" s="85">
        <v>275</v>
      </c>
      <c r="H38" s="85">
        <v>200</v>
      </c>
      <c r="I38" s="85">
        <v>175</v>
      </c>
      <c r="J38" s="85">
        <v>250</v>
      </c>
      <c r="K38" s="83">
        <v>300</v>
      </c>
      <c r="O38" s="5">
        <v>10</v>
      </c>
      <c r="Q38" s="4">
        <f t="shared" si="7"/>
        <v>4072</v>
      </c>
      <c r="R38" s="4">
        <f t="shared" si="7"/>
        <v>5430</v>
      </c>
      <c r="S38" s="4">
        <f t="shared" si="7"/>
        <v>6787</v>
      </c>
      <c r="T38" s="4">
        <f t="shared" si="7"/>
        <v>8144</v>
      </c>
    </row>
    <row r="39" spans="1:23" ht="12.5" thickBot="1" x14ac:dyDescent="0.35">
      <c r="A39" s="66"/>
      <c r="B39" s="66"/>
      <c r="C39" s="106"/>
      <c r="D39" s="118"/>
      <c r="E39" s="65"/>
      <c r="F39" s="65"/>
      <c r="G39" s="65"/>
      <c r="H39" s="65"/>
      <c r="I39" s="65"/>
      <c r="J39" s="65"/>
      <c r="K39" s="65"/>
      <c r="O39" s="5">
        <v>11</v>
      </c>
      <c r="Q39" s="4">
        <f t="shared" si="7"/>
        <v>4416</v>
      </c>
      <c r="R39" s="4">
        <f t="shared" si="7"/>
        <v>5888</v>
      </c>
      <c r="S39" s="4">
        <f t="shared" si="7"/>
        <v>7360</v>
      </c>
      <c r="T39" s="4">
        <f t="shared" si="7"/>
        <v>8832</v>
      </c>
    </row>
    <row r="40" spans="1:23" x14ac:dyDescent="0.3">
      <c r="A40" s="127">
        <v>8</v>
      </c>
      <c r="B40" s="63" t="s">
        <v>13</v>
      </c>
      <c r="C40" s="108">
        <v>0</v>
      </c>
      <c r="D40" s="119">
        <f>Q36</f>
        <v>3385</v>
      </c>
      <c r="E40" s="80">
        <v>375</v>
      </c>
      <c r="F40" s="83">
        <v>300</v>
      </c>
      <c r="G40" s="83">
        <v>350</v>
      </c>
      <c r="H40" s="83">
        <v>275</v>
      </c>
      <c r="I40" s="83">
        <v>250</v>
      </c>
      <c r="J40" s="83">
        <v>325</v>
      </c>
      <c r="K40" s="83">
        <v>375</v>
      </c>
      <c r="O40" s="5">
        <v>12</v>
      </c>
      <c r="Q40" s="4">
        <f t="shared" si="7"/>
        <v>4760</v>
      </c>
      <c r="R40" s="4">
        <f t="shared" si="7"/>
        <v>6346</v>
      </c>
      <c r="S40" s="4">
        <f t="shared" si="7"/>
        <v>7933</v>
      </c>
      <c r="T40" s="4">
        <f t="shared" si="7"/>
        <v>9519</v>
      </c>
    </row>
    <row r="41" spans="1:23" x14ac:dyDescent="0.3">
      <c r="A41" s="128"/>
      <c r="B41" s="51" t="s">
        <v>53</v>
      </c>
      <c r="C41" s="109">
        <f>D40+0.01</f>
        <v>3385.01</v>
      </c>
      <c r="D41" s="78">
        <f>R36</f>
        <v>4513</v>
      </c>
      <c r="E41" s="81">
        <v>350</v>
      </c>
      <c r="F41" s="84">
        <v>275</v>
      </c>
      <c r="G41" s="84">
        <v>325</v>
      </c>
      <c r="H41" s="84">
        <v>250</v>
      </c>
      <c r="I41" s="84">
        <v>225</v>
      </c>
      <c r="J41" s="84">
        <v>300</v>
      </c>
      <c r="K41" s="84">
        <v>350</v>
      </c>
      <c r="O41" s="5">
        <v>13</v>
      </c>
      <c r="Q41" s="4">
        <f t="shared" si="7"/>
        <v>5104</v>
      </c>
      <c r="R41" s="4">
        <f t="shared" si="7"/>
        <v>6805</v>
      </c>
      <c r="S41" s="4">
        <f t="shared" si="7"/>
        <v>8506</v>
      </c>
      <c r="T41" s="4">
        <f t="shared" si="7"/>
        <v>10207</v>
      </c>
    </row>
    <row r="42" spans="1:23" x14ac:dyDescent="0.3">
      <c r="A42" s="128"/>
      <c r="B42" s="51" t="s">
        <v>54</v>
      </c>
      <c r="C42" s="109">
        <f>D41+0.01</f>
        <v>4513.01</v>
      </c>
      <c r="D42" s="78">
        <f>S36</f>
        <v>5641</v>
      </c>
      <c r="E42" s="81">
        <v>325</v>
      </c>
      <c r="F42" s="84">
        <v>250</v>
      </c>
      <c r="G42" s="84">
        <v>300</v>
      </c>
      <c r="H42" s="84">
        <v>225</v>
      </c>
      <c r="I42" s="84">
        <v>200</v>
      </c>
      <c r="J42" s="84">
        <v>275</v>
      </c>
      <c r="K42" s="84">
        <v>325</v>
      </c>
      <c r="O42" s="5">
        <v>14</v>
      </c>
      <c r="Q42" s="4">
        <f t="shared" si="7"/>
        <v>5447</v>
      </c>
      <c r="R42" s="4">
        <f t="shared" si="7"/>
        <v>7263</v>
      </c>
      <c r="S42" s="4">
        <f t="shared" si="7"/>
        <v>9079</v>
      </c>
      <c r="T42" s="4">
        <f t="shared" si="7"/>
        <v>10894</v>
      </c>
    </row>
    <row r="43" spans="1:23" ht="12.5" thickBot="1" x14ac:dyDescent="0.35">
      <c r="A43" s="129"/>
      <c r="B43" s="64" t="s">
        <v>55</v>
      </c>
      <c r="C43" s="110">
        <f>D42+0.01</f>
        <v>5641.01</v>
      </c>
      <c r="D43" s="79">
        <f>T36</f>
        <v>6769</v>
      </c>
      <c r="E43" s="82">
        <v>300</v>
      </c>
      <c r="F43" s="85">
        <v>225</v>
      </c>
      <c r="G43" s="85">
        <v>275</v>
      </c>
      <c r="H43" s="85">
        <v>200</v>
      </c>
      <c r="I43" s="85">
        <v>175</v>
      </c>
      <c r="J43" s="85">
        <v>250</v>
      </c>
      <c r="K43" s="85">
        <v>300</v>
      </c>
    </row>
    <row r="44" spans="1:23" ht="23.5" x14ac:dyDescent="0.3">
      <c r="A44" s="72"/>
      <c r="B44" s="52" t="s">
        <v>56</v>
      </c>
      <c r="C44" s="114" t="s">
        <v>58</v>
      </c>
      <c r="D44" s="73"/>
      <c r="E44" s="1"/>
      <c r="F44" s="1"/>
      <c r="G44" s="1"/>
      <c r="H44" s="1"/>
      <c r="I44" s="1"/>
      <c r="J44" s="1"/>
      <c r="K44" s="1"/>
    </row>
    <row r="45" spans="1:23" x14ac:dyDescent="0.3">
      <c r="B45" s="120" t="s">
        <v>57</v>
      </c>
      <c r="C45" s="107">
        <f>D43-D38</f>
        <v>687</v>
      </c>
      <c r="D45" s="73"/>
      <c r="E45" s="1"/>
      <c r="F45" s="1"/>
      <c r="G45" s="1"/>
      <c r="H45" s="1"/>
      <c r="I45" s="1"/>
      <c r="J45" s="1"/>
      <c r="K45" s="1"/>
      <c r="R45" s="4"/>
    </row>
    <row r="46" spans="1:23" x14ac:dyDescent="0.3">
      <c r="B46" s="120"/>
      <c r="C46" s="107"/>
      <c r="D46" s="73"/>
      <c r="E46" s="1"/>
      <c r="F46" s="1"/>
      <c r="G46" s="1"/>
      <c r="H46" s="1"/>
      <c r="I46" s="1"/>
      <c r="J46" s="1"/>
      <c r="K46" s="1"/>
      <c r="R46" s="4"/>
    </row>
    <row r="47" spans="1:23" x14ac:dyDescent="0.3">
      <c r="B47" s="120"/>
      <c r="C47" s="107"/>
      <c r="D47" s="73"/>
      <c r="E47" s="1"/>
      <c r="F47" s="1"/>
      <c r="G47" s="1"/>
      <c r="H47" s="1"/>
      <c r="I47" s="1"/>
      <c r="J47" s="1"/>
      <c r="K47" s="1"/>
      <c r="R47" s="4"/>
    </row>
    <row r="48" spans="1:23" x14ac:dyDescent="0.3">
      <c r="B48" s="120"/>
      <c r="C48" s="2"/>
      <c r="D48" s="73"/>
      <c r="E48" s="1"/>
      <c r="F48" s="1"/>
      <c r="G48" s="1"/>
      <c r="H48" s="1"/>
      <c r="I48" s="1"/>
      <c r="J48" s="1"/>
      <c r="K48" s="1"/>
      <c r="O48" s="2">
        <f>500/15</f>
        <v>33.333333333333336</v>
      </c>
    </row>
    <row r="49" spans="1:11" ht="15.65" customHeight="1" x14ac:dyDescent="0.3"/>
    <row r="50" spans="1:11" s="71" customFormat="1" ht="15.5" x14ac:dyDescent="0.35">
      <c r="A50" s="132" t="s">
        <v>26</v>
      </c>
      <c r="B50" s="133"/>
      <c r="C50" s="133" t="s">
        <v>1</v>
      </c>
      <c r="D50" s="134"/>
      <c r="E50" s="132" t="s">
        <v>1</v>
      </c>
      <c r="F50" s="133"/>
      <c r="G50" s="133"/>
      <c r="H50" s="133"/>
      <c r="I50" s="133"/>
      <c r="J50" s="134"/>
      <c r="K50" s="70" t="s">
        <v>2</v>
      </c>
    </row>
    <row r="51" spans="1:11" ht="24.5" thickBot="1" x14ac:dyDescent="0.35">
      <c r="A51" s="60" t="s">
        <v>3</v>
      </c>
      <c r="B51" s="60"/>
      <c r="C51" s="135" t="s">
        <v>4</v>
      </c>
      <c r="D51" s="135"/>
      <c r="E51" s="61" t="s">
        <v>5</v>
      </c>
      <c r="F51" s="61" t="s">
        <v>6</v>
      </c>
      <c r="G51" s="61" t="s">
        <v>7</v>
      </c>
      <c r="H51" s="61" t="s">
        <v>8</v>
      </c>
      <c r="I51" s="61" t="s">
        <v>9</v>
      </c>
      <c r="J51" s="61" t="s">
        <v>10</v>
      </c>
      <c r="K51" s="62" t="s">
        <v>11</v>
      </c>
    </row>
    <row r="52" spans="1:11" x14ac:dyDescent="0.3">
      <c r="A52" s="127">
        <v>1</v>
      </c>
      <c r="B52" s="63" t="s">
        <v>13</v>
      </c>
      <c r="C52" s="108">
        <v>0</v>
      </c>
      <c r="D52" s="77">
        <v>979</v>
      </c>
      <c r="E52" s="80">
        <f>ROUNDUP(E8*0.3,0)</f>
        <v>81</v>
      </c>
      <c r="F52" s="83">
        <f t="shared" ref="F52:K52" si="9">ROUNDUP(F8*0.3,0)</f>
        <v>51</v>
      </c>
      <c r="G52" s="83">
        <f t="shared" si="9"/>
        <v>71</v>
      </c>
      <c r="H52" s="83">
        <f t="shared" si="9"/>
        <v>41</v>
      </c>
      <c r="I52" s="83">
        <f t="shared" si="9"/>
        <v>30</v>
      </c>
      <c r="J52" s="83">
        <f t="shared" si="9"/>
        <v>60</v>
      </c>
      <c r="K52" s="83">
        <f t="shared" si="9"/>
        <v>81</v>
      </c>
    </row>
    <row r="53" spans="1:11" x14ac:dyDescent="0.3">
      <c r="A53" s="128"/>
      <c r="B53" s="51" t="s">
        <v>53</v>
      </c>
      <c r="C53" s="109">
        <v>979.01</v>
      </c>
      <c r="D53" s="78">
        <v>1305</v>
      </c>
      <c r="E53" s="81">
        <f>ROUNDUP(E7*0.3,0)</f>
        <v>90</v>
      </c>
      <c r="F53" s="84">
        <f t="shared" ref="F53:K53" si="10">ROUNDUP(F7*0.3,0)</f>
        <v>60</v>
      </c>
      <c r="G53" s="84">
        <f t="shared" si="10"/>
        <v>81</v>
      </c>
      <c r="H53" s="84">
        <f t="shared" si="10"/>
        <v>51</v>
      </c>
      <c r="I53" s="84">
        <f t="shared" si="10"/>
        <v>41</v>
      </c>
      <c r="J53" s="84">
        <f t="shared" si="10"/>
        <v>71</v>
      </c>
      <c r="K53" s="84">
        <f t="shared" si="10"/>
        <v>90</v>
      </c>
    </row>
    <row r="54" spans="1:11" x14ac:dyDescent="0.3">
      <c r="A54" s="128"/>
      <c r="B54" s="51" t="s">
        <v>54</v>
      </c>
      <c r="C54" s="109">
        <v>1305.01</v>
      </c>
      <c r="D54" s="78">
        <v>1631</v>
      </c>
      <c r="E54" s="81">
        <f>ROUNDUP(E6*0.3,0)</f>
        <v>101</v>
      </c>
      <c r="F54" s="84">
        <f t="shared" ref="F54:K54" si="11">ROUNDUP(F6*0.3,0)</f>
        <v>71</v>
      </c>
      <c r="G54" s="84">
        <f t="shared" si="11"/>
        <v>90</v>
      </c>
      <c r="H54" s="84">
        <f t="shared" si="11"/>
        <v>60</v>
      </c>
      <c r="I54" s="84">
        <f t="shared" si="11"/>
        <v>51</v>
      </c>
      <c r="J54" s="84">
        <f t="shared" si="11"/>
        <v>81</v>
      </c>
      <c r="K54" s="84">
        <f t="shared" si="11"/>
        <v>101</v>
      </c>
    </row>
    <row r="55" spans="1:11" ht="12.5" thickBot="1" x14ac:dyDescent="0.35">
      <c r="A55" s="129"/>
      <c r="B55" s="64" t="s">
        <v>55</v>
      </c>
      <c r="C55" s="110">
        <v>1631.01</v>
      </c>
      <c r="D55" s="79">
        <v>1957</v>
      </c>
      <c r="E55" s="82">
        <f>ROUNDUP(E5*0.3,0)</f>
        <v>111</v>
      </c>
      <c r="F55" s="85">
        <f t="shared" ref="F55:K55" si="12">ROUNDUP(F5*0.3,0)</f>
        <v>81</v>
      </c>
      <c r="G55" s="85">
        <f t="shared" si="12"/>
        <v>101</v>
      </c>
      <c r="H55" s="85">
        <f t="shared" si="12"/>
        <v>71</v>
      </c>
      <c r="I55" s="85">
        <f t="shared" si="12"/>
        <v>60</v>
      </c>
      <c r="J55" s="85">
        <f t="shared" si="12"/>
        <v>90</v>
      </c>
      <c r="K55" s="85">
        <f t="shared" si="12"/>
        <v>111</v>
      </c>
    </row>
    <row r="56" spans="1:11" ht="12.5" thickBot="1" x14ac:dyDescent="0.35">
      <c r="A56" s="65"/>
      <c r="B56" s="66"/>
      <c r="C56" s="106"/>
      <c r="D56" s="67"/>
      <c r="E56" s="65"/>
      <c r="F56" s="65"/>
      <c r="G56" s="65"/>
      <c r="H56" s="65"/>
      <c r="I56" s="65"/>
      <c r="J56" s="65"/>
      <c r="K56" s="65"/>
    </row>
    <row r="57" spans="1:11" x14ac:dyDescent="0.3">
      <c r="A57" s="127">
        <v>2</v>
      </c>
      <c r="B57" s="63" t="s">
        <v>13</v>
      </c>
      <c r="C57" s="108">
        <v>0</v>
      </c>
      <c r="D57" s="77">
        <v>1322</v>
      </c>
      <c r="E57" s="80">
        <f>ROUNDUP(E13*0.3,0)</f>
        <v>90</v>
      </c>
      <c r="F57" s="83">
        <f t="shared" ref="F57:K57" si="13">ROUNDUP(F13*0.3,0)</f>
        <v>60</v>
      </c>
      <c r="G57" s="83">
        <f t="shared" si="13"/>
        <v>81</v>
      </c>
      <c r="H57" s="83">
        <f t="shared" si="13"/>
        <v>41</v>
      </c>
      <c r="I57" s="83">
        <f t="shared" si="13"/>
        <v>41</v>
      </c>
      <c r="J57" s="83">
        <f t="shared" si="13"/>
        <v>71</v>
      </c>
      <c r="K57" s="83">
        <f t="shared" si="13"/>
        <v>90</v>
      </c>
    </row>
    <row r="58" spans="1:11" x14ac:dyDescent="0.3">
      <c r="A58" s="128"/>
      <c r="B58" s="51" t="s">
        <v>53</v>
      </c>
      <c r="C58" s="109">
        <v>1322.01</v>
      </c>
      <c r="D58" s="78">
        <v>1763</v>
      </c>
      <c r="E58" s="81">
        <f>ROUNDUP(E12*0.3,0)</f>
        <v>101</v>
      </c>
      <c r="F58" s="84">
        <f t="shared" ref="F58:K58" si="14">ROUNDUP(F12*0.3,0)</f>
        <v>71</v>
      </c>
      <c r="G58" s="84">
        <f t="shared" si="14"/>
        <v>90</v>
      </c>
      <c r="H58" s="84">
        <f t="shared" si="14"/>
        <v>51</v>
      </c>
      <c r="I58" s="84">
        <f t="shared" si="14"/>
        <v>51</v>
      </c>
      <c r="J58" s="84">
        <f t="shared" si="14"/>
        <v>81</v>
      </c>
      <c r="K58" s="84">
        <f t="shared" si="14"/>
        <v>101</v>
      </c>
    </row>
    <row r="59" spans="1:11" x14ac:dyDescent="0.3">
      <c r="A59" s="128"/>
      <c r="B59" s="51" t="s">
        <v>54</v>
      </c>
      <c r="C59" s="109">
        <v>1763.01</v>
      </c>
      <c r="D59" s="78">
        <v>2204</v>
      </c>
      <c r="E59" s="81">
        <f>ROUNDUP(E11*0.3,0)</f>
        <v>111</v>
      </c>
      <c r="F59" s="84">
        <f t="shared" ref="F59:K59" si="15">ROUNDUP(F11*0.3,0)</f>
        <v>81</v>
      </c>
      <c r="G59" s="84">
        <f t="shared" si="15"/>
        <v>101</v>
      </c>
      <c r="H59" s="84">
        <f t="shared" si="15"/>
        <v>60</v>
      </c>
      <c r="I59" s="84">
        <f t="shared" si="15"/>
        <v>60</v>
      </c>
      <c r="J59" s="84">
        <f t="shared" si="15"/>
        <v>90</v>
      </c>
      <c r="K59" s="84">
        <f t="shared" si="15"/>
        <v>111</v>
      </c>
    </row>
    <row r="60" spans="1:11" ht="12.5" thickBot="1" x14ac:dyDescent="0.35">
      <c r="A60" s="129"/>
      <c r="B60" s="64" t="s">
        <v>55</v>
      </c>
      <c r="C60" s="110">
        <v>2204.0100000000002</v>
      </c>
      <c r="D60" s="79">
        <v>2644</v>
      </c>
      <c r="E60" s="82">
        <f>ROUNDUP(E10*0.3,0)</f>
        <v>120</v>
      </c>
      <c r="F60" s="85">
        <f t="shared" ref="F60:K60" si="16">ROUNDUP(F10*0.3,0)</f>
        <v>90</v>
      </c>
      <c r="G60" s="85">
        <f t="shared" si="16"/>
        <v>111</v>
      </c>
      <c r="H60" s="85">
        <f t="shared" si="16"/>
        <v>71</v>
      </c>
      <c r="I60" s="85">
        <f t="shared" si="16"/>
        <v>71</v>
      </c>
      <c r="J60" s="85">
        <f t="shared" si="16"/>
        <v>101</v>
      </c>
      <c r="K60" s="85">
        <f t="shared" si="16"/>
        <v>120</v>
      </c>
    </row>
    <row r="61" spans="1:11" ht="12.5" thickBot="1" x14ac:dyDescent="0.35">
      <c r="A61" s="66"/>
      <c r="B61" s="66"/>
      <c r="C61" s="106"/>
      <c r="D61" s="67"/>
      <c r="E61" s="65"/>
      <c r="F61" s="65"/>
      <c r="G61" s="65"/>
      <c r="H61" s="65"/>
      <c r="I61" s="65"/>
      <c r="J61" s="65"/>
      <c r="K61" s="65"/>
    </row>
    <row r="62" spans="1:11" x14ac:dyDescent="0.3">
      <c r="A62" s="127">
        <v>3</v>
      </c>
      <c r="B62" s="63" t="s">
        <v>13</v>
      </c>
      <c r="C62" s="111">
        <v>0</v>
      </c>
      <c r="D62" s="92">
        <v>1666</v>
      </c>
      <c r="E62" s="77">
        <f>ROUNDUP(E18*0.3,0)</f>
        <v>101</v>
      </c>
      <c r="F62" s="80">
        <f t="shared" ref="F62:K62" si="17">ROUNDUP(F18*0.3,0)</f>
        <v>71</v>
      </c>
      <c r="G62" s="83">
        <f t="shared" si="17"/>
        <v>90</v>
      </c>
      <c r="H62" s="83">
        <f t="shared" si="17"/>
        <v>60</v>
      </c>
      <c r="I62" s="83">
        <f t="shared" si="17"/>
        <v>51</v>
      </c>
      <c r="J62" s="83">
        <f t="shared" si="17"/>
        <v>81</v>
      </c>
      <c r="K62" s="83">
        <f t="shared" si="17"/>
        <v>101</v>
      </c>
    </row>
    <row r="63" spans="1:11" x14ac:dyDescent="0.3">
      <c r="A63" s="128"/>
      <c r="B63" s="51" t="s">
        <v>53</v>
      </c>
      <c r="C63" s="112">
        <v>1666.01</v>
      </c>
      <c r="D63" s="93">
        <v>2221</v>
      </c>
      <c r="E63" s="78">
        <f>ROUNDUP(E17*0.3,0)</f>
        <v>111</v>
      </c>
      <c r="F63" s="81">
        <f t="shared" ref="F63:K63" si="18">ROUNDUP(F17*0.3,0)</f>
        <v>81</v>
      </c>
      <c r="G63" s="84">
        <f t="shared" si="18"/>
        <v>101</v>
      </c>
      <c r="H63" s="84">
        <f t="shared" si="18"/>
        <v>71</v>
      </c>
      <c r="I63" s="84">
        <f t="shared" si="18"/>
        <v>60</v>
      </c>
      <c r="J63" s="84">
        <f t="shared" si="18"/>
        <v>90</v>
      </c>
      <c r="K63" s="84">
        <f t="shared" si="18"/>
        <v>111</v>
      </c>
    </row>
    <row r="64" spans="1:11" x14ac:dyDescent="0.3">
      <c r="A64" s="128"/>
      <c r="B64" s="51" t="s">
        <v>54</v>
      </c>
      <c r="C64" s="112">
        <v>2221.0100000000002</v>
      </c>
      <c r="D64" s="93">
        <v>2777</v>
      </c>
      <c r="E64" s="78">
        <f>ROUNDUP(E16*0.3,0)</f>
        <v>120</v>
      </c>
      <c r="F64" s="81">
        <f t="shared" ref="F64:K64" si="19">ROUNDUP(F16*0.3,0)</f>
        <v>90</v>
      </c>
      <c r="G64" s="84">
        <f t="shared" si="19"/>
        <v>111</v>
      </c>
      <c r="H64" s="84">
        <f t="shared" si="19"/>
        <v>81</v>
      </c>
      <c r="I64" s="84">
        <f t="shared" si="19"/>
        <v>71</v>
      </c>
      <c r="J64" s="84">
        <f t="shared" si="19"/>
        <v>101</v>
      </c>
      <c r="K64" s="84">
        <f t="shared" si="19"/>
        <v>120</v>
      </c>
    </row>
    <row r="65" spans="1:11" ht="12.5" thickBot="1" x14ac:dyDescent="0.35">
      <c r="A65" s="129"/>
      <c r="B65" s="64" t="s">
        <v>55</v>
      </c>
      <c r="C65" s="113">
        <v>2777.01</v>
      </c>
      <c r="D65" s="94">
        <v>3332</v>
      </c>
      <c r="E65" s="79">
        <f>ROUNDUP(E15*0.3,0)</f>
        <v>131</v>
      </c>
      <c r="F65" s="82">
        <f t="shared" ref="F65:K65" si="20">ROUNDUP(F15*0.3,0)</f>
        <v>101</v>
      </c>
      <c r="G65" s="85">
        <f t="shared" si="20"/>
        <v>120</v>
      </c>
      <c r="H65" s="85">
        <f t="shared" si="20"/>
        <v>90</v>
      </c>
      <c r="I65" s="85">
        <f t="shared" si="20"/>
        <v>81</v>
      </c>
      <c r="J65" s="85">
        <f t="shared" si="20"/>
        <v>111</v>
      </c>
      <c r="K65" s="85">
        <f t="shared" si="20"/>
        <v>131</v>
      </c>
    </row>
    <row r="66" spans="1:11" ht="12.5" thickBot="1" x14ac:dyDescent="0.35">
      <c r="A66" s="66"/>
      <c r="B66" s="66"/>
      <c r="C66" s="106"/>
      <c r="D66" s="67"/>
      <c r="E66" s="65"/>
      <c r="F66" s="65"/>
      <c r="G66" s="65"/>
      <c r="H66" s="65"/>
      <c r="I66" s="65"/>
      <c r="J66" s="65"/>
      <c r="K66" s="65"/>
    </row>
    <row r="67" spans="1:11" x14ac:dyDescent="0.3">
      <c r="A67" s="127">
        <v>4</v>
      </c>
      <c r="B67" s="63" t="s">
        <v>13</v>
      </c>
      <c r="C67" s="108">
        <v>0</v>
      </c>
      <c r="D67" s="77">
        <v>2010</v>
      </c>
      <c r="E67" s="80">
        <f>ROUNDUP(E23*0.3,0)</f>
        <v>111</v>
      </c>
      <c r="F67" s="83">
        <f t="shared" ref="F67:K67" si="21">ROUNDUP(F23*0.3,0)</f>
        <v>81</v>
      </c>
      <c r="G67" s="83">
        <f t="shared" si="21"/>
        <v>101</v>
      </c>
      <c r="H67" s="83">
        <f t="shared" si="21"/>
        <v>71</v>
      </c>
      <c r="I67" s="83">
        <f t="shared" si="21"/>
        <v>60</v>
      </c>
      <c r="J67" s="83">
        <f t="shared" si="21"/>
        <v>90</v>
      </c>
      <c r="K67" s="83">
        <f t="shared" si="21"/>
        <v>111</v>
      </c>
    </row>
    <row r="68" spans="1:11" x14ac:dyDescent="0.3">
      <c r="A68" s="128"/>
      <c r="B68" s="51" t="s">
        <v>53</v>
      </c>
      <c r="C68" s="109">
        <v>2010.01</v>
      </c>
      <c r="D68" s="78">
        <v>2680</v>
      </c>
      <c r="E68" s="81">
        <f>ROUNDUP(E22*0.3,0)</f>
        <v>120</v>
      </c>
      <c r="F68" s="84">
        <f t="shared" ref="F68:K68" si="22">ROUNDUP(F22*0.3,0)</f>
        <v>90</v>
      </c>
      <c r="G68" s="84">
        <f t="shared" si="22"/>
        <v>111</v>
      </c>
      <c r="H68" s="84">
        <f t="shared" si="22"/>
        <v>81</v>
      </c>
      <c r="I68" s="84">
        <f t="shared" si="22"/>
        <v>71</v>
      </c>
      <c r="J68" s="84">
        <f t="shared" si="22"/>
        <v>101</v>
      </c>
      <c r="K68" s="84">
        <f t="shared" si="22"/>
        <v>120</v>
      </c>
    </row>
    <row r="69" spans="1:11" x14ac:dyDescent="0.3">
      <c r="A69" s="128"/>
      <c r="B69" s="51" t="s">
        <v>54</v>
      </c>
      <c r="C69" s="109">
        <v>2680.01</v>
      </c>
      <c r="D69" s="78">
        <v>3349</v>
      </c>
      <c r="E69" s="81">
        <f>ROUNDUP(E21*0.3,0)</f>
        <v>131</v>
      </c>
      <c r="F69" s="84">
        <f t="shared" ref="F69:K69" si="23">ROUNDUP(F21*0.3,0)</f>
        <v>101</v>
      </c>
      <c r="G69" s="84">
        <f t="shared" si="23"/>
        <v>120</v>
      </c>
      <c r="H69" s="84">
        <f t="shared" si="23"/>
        <v>90</v>
      </c>
      <c r="I69" s="84">
        <f t="shared" si="23"/>
        <v>81</v>
      </c>
      <c r="J69" s="84">
        <f t="shared" si="23"/>
        <v>111</v>
      </c>
      <c r="K69" s="84">
        <f t="shared" si="23"/>
        <v>131</v>
      </c>
    </row>
    <row r="70" spans="1:11" ht="12.5" thickBot="1" x14ac:dyDescent="0.35">
      <c r="A70" s="129"/>
      <c r="B70" s="64" t="s">
        <v>55</v>
      </c>
      <c r="C70" s="110">
        <v>3349.01</v>
      </c>
      <c r="D70" s="79">
        <v>4019</v>
      </c>
      <c r="E70" s="82">
        <f>ROUNDUP(E20*0.3,0)</f>
        <v>141</v>
      </c>
      <c r="F70" s="85">
        <f t="shared" ref="F70:K70" si="24">ROUNDUP(F20*0.3,0)</f>
        <v>111</v>
      </c>
      <c r="G70" s="85">
        <f t="shared" si="24"/>
        <v>131</v>
      </c>
      <c r="H70" s="85">
        <f t="shared" si="24"/>
        <v>101</v>
      </c>
      <c r="I70" s="85">
        <f t="shared" si="24"/>
        <v>90</v>
      </c>
      <c r="J70" s="85">
        <f t="shared" si="24"/>
        <v>120</v>
      </c>
      <c r="K70" s="85">
        <f t="shared" si="24"/>
        <v>141</v>
      </c>
    </row>
    <row r="71" spans="1:11" ht="12.5" thickBot="1" x14ac:dyDescent="0.35">
      <c r="A71" s="66" t="s">
        <v>25</v>
      </c>
      <c r="B71" s="66"/>
      <c r="C71" s="106"/>
      <c r="D71" s="67"/>
      <c r="E71" s="65"/>
      <c r="F71" s="65"/>
      <c r="G71" s="65"/>
      <c r="H71" s="65"/>
      <c r="I71" s="65"/>
      <c r="J71" s="65"/>
      <c r="K71" s="65"/>
    </row>
    <row r="72" spans="1:11" x14ac:dyDescent="0.3">
      <c r="A72" s="127">
        <v>5</v>
      </c>
      <c r="B72" s="63" t="s">
        <v>13</v>
      </c>
      <c r="C72" s="108">
        <v>0</v>
      </c>
      <c r="D72" s="77">
        <v>2354</v>
      </c>
      <c r="E72" s="80">
        <f>ROUNDUP(E28*0.3,0)</f>
        <v>120</v>
      </c>
      <c r="F72" s="83">
        <f t="shared" ref="F72:K72" si="25">ROUNDUP(F28*0.3,0)</f>
        <v>90</v>
      </c>
      <c r="G72" s="83">
        <f t="shared" si="25"/>
        <v>111</v>
      </c>
      <c r="H72" s="83">
        <f t="shared" si="25"/>
        <v>81</v>
      </c>
      <c r="I72" s="83">
        <f t="shared" si="25"/>
        <v>71</v>
      </c>
      <c r="J72" s="83">
        <f t="shared" si="25"/>
        <v>101</v>
      </c>
      <c r="K72" s="83">
        <f t="shared" si="25"/>
        <v>120</v>
      </c>
    </row>
    <row r="73" spans="1:11" x14ac:dyDescent="0.3">
      <c r="A73" s="128"/>
      <c r="B73" s="51" t="s">
        <v>53</v>
      </c>
      <c r="C73" s="109">
        <v>2354.0100000000002</v>
      </c>
      <c r="D73" s="78">
        <v>3138</v>
      </c>
      <c r="E73" s="81">
        <f>ROUNDUP(E27*0.3,0)</f>
        <v>131</v>
      </c>
      <c r="F73" s="84">
        <f t="shared" ref="F73:K73" si="26">ROUNDUP(F27*0.3,0)</f>
        <v>101</v>
      </c>
      <c r="G73" s="84">
        <f t="shared" si="26"/>
        <v>120</v>
      </c>
      <c r="H73" s="84">
        <f t="shared" si="26"/>
        <v>90</v>
      </c>
      <c r="I73" s="84">
        <f t="shared" si="26"/>
        <v>81</v>
      </c>
      <c r="J73" s="84">
        <f t="shared" si="26"/>
        <v>111</v>
      </c>
      <c r="K73" s="84">
        <f t="shared" si="26"/>
        <v>131</v>
      </c>
    </row>
    <row r="74" spans="1:11" x14ac:dyDescent="0.3">
      <c r="A74" s="128"/>
      <c r="B74" s="51" t="s">
        <v>54</v>
      </c>
      <c r="C74" s="109">
        <v>3138.01</v>
      </c>
      <c r="D74" s="78">
        <v>3922</v>
      </c>
      <c r="E74" s="81">
        <f>ROUNDUP(E26*0.3,0)</f>
        <v>141</v>
      </c>
      <c r="F74" s="84">
        <f t="shared" ref="F74:K74" si="27">ROUNDUP(F26*0.3,0)</f>
        <v>111</v>
      </c>
      <c r="G74" s="84">
        <f t="shared" si="27"/>
        <v>131</v>
      </c>
      <c r="H74" s="84">
        <f t="shared" si="27"/>
        <v>101</v>
      </c>
      <c r="I74" s="84">
        <f t="shared" si="27"/>
        <v>90</v>
      </c>
      <c r="J74" s="84">
        <f t="shared" si="27"/>
        <v>120</v>
      </c>
      <c r="K74" s="84">
        <f t="shared" si="27"/>
        <v>141</v>
      </c>
    </row>
    <row r="75" spans="1:11" ht="12.5" thickBot="1" x14ac:dyDescent="0.35">
      <c r="A75" s="129"/>
      <c r="B75" s="64" t="s">
        <v>55</v>
      </c>
      <c r="C75" s="110">
        <v>3922.01</v>
      </c>
      <c r="D75" s="79">
        <v>4707</v>
      </c>
      <c r="E75" s="82">
        <f>ROUNDUP(E25*0.3,0)</f>
        <v>150</v>
      </c>
      <c r="F75" s="85">
        <f t="shared" ref="F75:K75" si="28">ROUNDUP(F25*0.3,0)</f>
        <v>120</v>
      </c>
      <c r="G75" s="85">
        <f t="shared" si="28"/>
        <v>141</v>
      </c>
      <c r="H75" s="85">
        <f t="shared" si="28"/>
        <v>111</v>
      </c>
      <c r="I75" s="85">
        <f t="shared" si="28"/>
        <v>101</v>
      </c>
      <c r="J75" s="85">
        <f t="shared" si="28"/>
        <v>131</v>
      </c>
      <c r="K75" s="85">
        <f t="shared" si="28"/>
        <v>150</v>
      </c>
    </row>
    <row r="76" spans="1:11" ht="12.5" thickBot="1" x14ac:dyDescent="0.35">
      <c r="C76" s="107"/>
      <c r="D76" s="12"/>
      <c r="E76" s="1"/>
      <c r="F76" s="1"/>
      <c r="G76" s="1"/>
      <c r="H76" s="1"/>
      <c r="I76" s="1"/>
      <c r="J76" s="1"/>
      <c r="K76" s="1"/>
    </row>
    <row r="77" spans="1:11" x14ac:dyDescent="0.3">
      <c r="A77" s="123">
        <v>6</v>
      </c>
      <c r="B77" s="10" t="s">
        <v>13</v>
      </c>
      <c r="C77" s="111">
        <v>0</v>
      </c>
      <c r="D77" s="92">
        <v>2697</v>
      </c>
      <c r="E77" s="77">
        <v>90</v>
      </c>
      <c r="F77" s="80">
        <v>68</v>
      </c>
      <c r="G77" s="83">
        <v>83</v>
      </c>
      <c r="H77" s="83">
        <v>60</v>
      </c>
      <c r="I77" s="83">
        <v>53</v>
      </c>
      <c r="J77" s="83">
        <v>75</v>
      </c>
      <c r="K77" s="83">
        <v>90</v>
      </c>
    </row>
    <row r="78" spans="1:11" x14ac:dyDescent="0.3">
      <c r="A78" s="124"/>
      <c r="B78" s="2" t="s">
        <v>53</v>
      </c>
      <c r="C78" s="112">
        <v>2697.01</v>
      </c>
      <c r="D78" s="93">
        <v>3596</v>
      </c>
      <c r="E78" s="78">
        <v>98</v>
      </c>
      <c r="F78" s="81">
        <v>75</v>
      </c>
      <c r="G78" s="84">
        <v>90</v>
      </c>
      <c r="H78" s="84">
        <v>68</v>
      </c>
      <c r="I78" s="84">
        <v>60</v>
      </c>
      <c r="J78" s="84">
        <v>83</v>
      </c>
      <c r="K78" s="84">
        <v>98</v>
      </c>
    </row>
    <row r="79" spans="1:11" x14ac:dyDescent="0.3">
      <c r="A79" s="124"/>
      <c r="B79" s="2" t="s">
        <v>54</v>
      </c>
      <c r="C79" s="112">
        <v>3596.01</v>
      </c>
      <c r="D79" s="93">
        <v>4495</v>
      </c>
      <c r="E79" s="78">
        <v>105</v>
      </c>
      <c r="F79" s="81">
        <v>83</v>
      </c>
      <c r="G79" s="84">
        <v>98</v>
      </c>
      <c r="H79" s="84">
        <v>75</v>
      </c>
      <c r="I79" s="84">
        <v>68</v>
      </c>
      <c r="J79" s="84">
        <v>90</v>
      </c>
      <c r="K79" s="84">
        <v>105</v>
      </c>
    </row>
    <row r="80" spans="1:11" ht="12.5" thickBot="1" x14ac:dyDescent="0.35">
      <c r="A80" s="125"/>
      <c r="B80" s="11" t="s">
        <v>55</v>
      </c>
      <c r="C80" s="113">
        <v>4495.01</v>
      </c>
      <c r="D80" s="94">
        <v>5394</v>
      </c>
      <c r="E80" s="79">
        <v>113</v>
      </c>
      <c r="F80" s="82">
        <v>90</v>
      </c>
      <c r="G80" s="85">
        <v>105</v>
      </c>
      <c r="H80" s="85">
        <v>83</v>
      </c>
      <c r="I80" s="85">
        <v>75</v>
      </c>
      <c r="J80" s="85">
        <v>98</v>
      </c>
      <c r="K80" s="85">
        <v>113</v>
      </c>
    </row>
    <row r="81" spans="1:11" ht="12.5" thickBot="1" x14ac:dyDescent="0.35">
      <c r="A81" s="2" t="s">
        <v>22</v>
      </c>
      <c r="C81" s="107"/>
      <c r="D81" s="12"/>
      <c r="E81" s="1"/>
      <c r="F81" s="1"/>
      <c r="G81" s="1"/>
      <c r="H81" s="1"/>
      <c r="I81" s="1"/>
      <c r="J81" s="1"/>
      <c r="K81" s="1"/>
    </row>
    <row r="82" spans="1:11" x14ac:dyDescent="0.3">
      <c r="A82" s="123">
        <v>7</v>
      </c>
      <c r="B82" s="10" t="s">
        <v>13</v>
      </c>
      <c r="C82" s="111">
        <v>0</v>
      </c>
      <c r="D82" s="92">
        <v>3041</v>
      </c>
      <c r="E82" s="77">
        <v>90</v>
      </c>
      <c r="F82" s="80">
        <v>68</v>
      </c>
      <c r="G82" s="83">
        <v>83</v>
      </c>
      <c r="H82" s="83">
        <v>60</v>
      </c>
      <c r="I82" s="83">
        <v>53</v>
      </c>
      <c r="J82" s="83">
        <v>75</v>
      </c>
      <c r="K82" s="83">
        <v>90</v>
      </c>
    </row>
    <row r="83" spans="1:11" x14ac:dyDescent="0.3">
      <c r="A83" s="124"/>
      <c r="B83" s="2" t="s">
        <v>53</v>
      </c>
      <c r="C83" s="112">
        <v>3041.01</v>
      </c>
      <c r="D83" s="93">
        <v>4055</v>
      </c>
      <c r="E83" s="78">
        <v>98</v>
      </c>
      <c r="F83" s="81">
        <v>75</v>
      </c>
      <c r="G83" s="84">
        <v>90</v>
      </c>
      <c r="H83" s="84">
        <v>68</v>
      </c>
      <c r="I83" s="84">
        <v>60</v>
      </c>
      <c r="J83" s="84">
        <v>83</v>
      </c>
      <c r="K83" s="84">
        <v>98</v>
      </c>
    </row>
    <row r="84" spans="1:11" x14ac:dyDescent="0.3">
      <c r="A84" s="124"/>
      <c r="B84" s="2" t="s">
        <v>54</v>
      </c>
      <c r="C84" s="112">
        <v>4055.01</v>
      </c>
      <c r="D84" s="93">
        <v>5068</v>
      </c>
      <c r="E84" s="78">
        <v>105</v>
      </c>
      <c r="F84" s="81">
        <v>83</v>
      </c>
      <c r="G84" s="84">
        <v>98</v>
      </c>
      <c r="H84" s="84">
        <v>75</v>
      </c>
      <c r="I84" s="84">
        <v>68</v>
      </c>
      <c r="J84" s="84">
        <v>90</v>
      </c>
      <c r="K84" s="84">
        <v>105</v>
      </c>
    </row>
    <row r="85" spans="1:11" ht="12.5" thickBot="1" x14ac:dyDescent="0.35">
      <c r="A85" s="125"/>
      <c r="B85" s="11" t="s">
        <v>55</v>
      </c>
      <c r="C85" s="113">
        <v>5068.01</v>
      </c>
      <c r="D85" s="94">
        <v>6082</v>
      </c>
      <c r="E85" s="79">
        <v>113</v>
      </c>
      <c r="F85" s="82">
        <v>90</v>
      </c>
      <c r="G85" s="85">
        <v>105</v>
      </c>
      <c r="H85" s="85">
        <v>83</v>
      </c>
      <c r="I85" s="85">
        <v>75</v>
      </c>
      <c r="J85" s="85">
        <v>98</v>
      </c>
      <c r="K85" s="85">
        <v>113</v>
      </c>
    </row>
    <row r="86" spans="1:11" ht="12.5" thickBot="1" x14ac:dyDescent="0.35">
      <c r="C86" s="107"/>
      <c r="D86" s="12"/>
      <c r="E86" s="1"/>
      <c r="F86" s="1"/>
      <c r="G86" s="1"/>
      <c r="H86" s="1"/>
      <c r="I86" s="1"/>
      <c r="J86" s="1"/>
      <c r="K86" s="1"/>
    </row>
    <row r="87" spans="1:11" x14ac:dyDescent="0.3">
      <c r="A87" s="123">
        <v>8</v>
      </c>
      <c r="B87" s="10" t="s">
        <v>13</v>
      </c>
      <c r="C87" s="111">
        <v>0</v>
      </c>
      <c r="D87" s="92">
        <v>3385</v>
      </c>
      <c r="E87" s="77">
        <v>90</v>
      </c>
      <c r="F87" s="80">
        <v>68</v>
      </c>
      <c r="G87" s="83">
        <v>83</v>
      </c>
      <c r="H87" s="83">
        <v>60</v>
      </c>
      <c r="I87" s="83">
        <v>53</v>
      </c>
      <c r="J87" s="83">
        <v>75</v>
      </c>
      <c r="K87" s="83">
        <v>90</v>
      </c>
    </row>
    <row r="88" spans="1:11" x14ac:dyDescent="0.3">
      <c r="A88" s="124"/>
      <c r="B88" s="2" t="s">
        <v>53</v>
      </c>
      <c r="C88" s="112">
        <v>3385.01</v>
      </c>
      <c r="D88" s="93">
        <v>4513</v>
      </c>
      <c r="E88" s="78">
        <v>98</v>
      </c>
      <c r="F88" s="81">
        <v>75</v>
      </c>
      <c r="G88" s="84">
        <v>90</v>
      </c>
      <c r="H88" s="84">
        <v>68</v>
      </c>
      <c r="I88" s="84">
        <v>60</v>
      </c>
      <c r="J88" s="84">
        <v>83</v>
      </c>
      <c r="K88" s="84">
        <v>98</v>
      </c>
    </row>
    <row r="89" spans="1:11" x14ac:dyDescent="0.3">
      <c r="A89" s="124"/>
      <c r="B89" s="2" t="s">
        <v>54</v>
      </c>
      <c r="C89" s="112">
        <v>4513.01</v>
      </c>
      <c r="D89" s="93">
        <v>5641</v>
      </c>
      <c r="E89" s="78">
        <v>105</v>
      </c>
      <c r="F89" s="81">
        <v>83</v>
      </c>
      <c r="G89" s="84">
        <v>98</v>
      </c>
      <c r="H89" s="84">
        <v>75</v>
      </c>
      <c r="I89" s="84">
        <v>68</v>
      </c>
      <c r="J89" s="84">
        <v>90</v>
      </c>
      <c r="K89" s="84">
        <v>105</v>
      </c>
    </row>
    <row r="90" spans="1:11" ht="12.5" thickBot="1" x14ac:dyDescent="0.35">
      <c r="A90" s="125"/>
      <c r="B90" s="11" t="s">
        <v>55</v>
      </c>
      <c r="C90" s="113">
        <v>5641.01</v>
      </c>
      <c r="D90" s="94">
        <v>6769</v>
      </c>
      <c r="E90" s="79">
        <v>113</v>
      </c>
      <c r="F90" s="82">
        <v>90</v>
      </c>
      <c r="G90" s="85">
        <v>105</v>
      </c>
      <c r="H90" s="85">
        <v>83</v>
      </c>
      <c r="I90" s="85">
        <v>75</v>
      </c>
      <c r="J90" s="85">
        <v>98</v>
      </c>
      <c r="K90" s="85">
        <v>113</v>
      </c>
    </row>
  </sheetData>
  <mergeCells count="27">
    <mergeCell ref="A15:A18"/>
    <mergeCell ref="A20:A23"/>
    <mergeCell ref="A1:K1"/>
    <mergeCell ref="A3:D3"/>
    <mergeCell ref="E3:J3"/>
    <mergeCell ref="C4:D4"/>
    <mergeCell ref="A5:A8"/>
    <mergeCell ref="A10:A13"/>
    <mergeCell ref="E50:J50"/>
    <mergeCell ref="X10:X11"/>
    <mergeCell ref="Y10:Y11"/>
    <mergeCell ref="Z10:Z11"/>
    <mergeCell ref="AA10:AA11"/>
    <mergeCell ref="A25:A28"/>
    <mergeCell ref="A30:A33"/>
    <mergeCell ref="A35:A38"/>
    <mergeCell ref="A40:A43"/>
    <mergeCell ref="A50:D50"/>
    <mergeCell ref="A77:A80"/>
    <mergeCell ref="A82:A85"/>
    <mergeCell ref="A87:A90"/>
    <mergeCell ref="C51:D51"/>
    <mergeCell ref="A52:A55"/>
    <mergeCell ref="A57:A60"/>
    <mergeCell ref="A62:A65"/>
    <mergeCell ref="A67:A70"/>
    <mergeCell ref="A72:A7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015F6-C890-4B5C-9DD7-DA97707DB0E1}">
  <dimension ref="A1:R31"/>
  <sheetViews>
    <sheetView workbookViewId="0">
      <selection activeCell="A22" sqref="A22"/>
    </sheetView>
    <sheetView workbookViewId="1"/>
  </sheetViews>
  <sheetFormatPr defaultRowHeight="14.5" x14ac:dyDescent="0.35"/>
  <cols>
    <col min="1" max="1" width="11.26953125" customWidth="1"/>
    <col min="6" max="6" width="14.81640625" customWidth="1"/>
    <col min="9" max="9" width="12.26953125" customWidth="1"/>
  </cols>
  <sheetData>
    <row r="1" spans="1:16" x14ac:dyDescent="0.35">
      <c r="A1" t="s">
        <v>27</v>
      </c>
      <c r="D1">
        <v>71494</v>
      </c>
      <c r="F1" s="23" t="s">
        <v>28</v>
      </c>
      <c r="G1" s="20" t="s">
        <v>29</v>
      </c>
      <c r="H1" s="23" t="s">
        <v>30</v>
      </c>
      <c r="I1" s="23" t="s">
        <v>31</v>
      </c>
      <c r="J1" s="23" t="s">
        <v>30</v>
      </c>
      <c r="K1" s="24"/>
    </row>
    <row r="2" spans="1:16" x14ac:dyDescent="0.35">
      <c r="A2" t="s">
        <v>32</v>
      </c>
      <c r="D2">
        <v>72045</v>
      </c>
      <c r="F2" s="24" t="s">
        <v>33</v>
      </c>
      <c r="G2" s="21">
        <v>0.42387396765910196</v>
      </c>
      <c r="H2" s="24">
        <v>4</v>
      </c>
      <c r="I2" s="24" t="s">
        <v>9</v>
      </c>
      <c r="J2" s="24">
        <v>1</v>
      </c>
      <c r="K2" s="24"/>
      <c r="L2" s="40"/>
      <c r="M2" s="38"/>
    </row>
    <row r="3" spans="1:16" x14ac:dyDescent="0.35">
      <c r="A3" t="s">
        <v>34</v>
      </c>
      <c r="B3" t="s">
        <v>35</v>
      </c>
      <c r="D3">
        <v>72545</v>
      </c>
      <c r="F3" s="24" t="s">
        <v>36</v>
      </c>
      <c r="G3" s="21">
        <v>0.37036574363245195</v>
      </c>
      <c r="H3" s="24">
        <v>3</v>
      </c>
      <c r="I3" s="24" t="s">
        <v>8</v>
      </c>
      <c r="J3" s="24">
        <v>2</v>
      </c>
    </row>
    <row r="4" spans="1:16" x14ac:dyDescent="0.35">
      <c r="F4" s="24" t="s">
        <v>37</v>
      </c>
      <c r="G4" s="21">
        <v>0.14403497813866334</v>
      </c>
      <c r="H4" s="24">
        <v>2</v>
      </c>
      <c r="I4" s="24" t="s">
        <v>6</v>
      </c>
      <c r="J4" s="24">
        <v>3</v>
      </c>
      <c r="K4" s="24"/>
      <c r="M4" s="40"/>
    </row>
    <row r="5" spans="1:16" x14ac:dyDescent="0.35">
      <c r="E5" t="s">
        <v>22</v>
      </c>
      <c r="F5" s="24" t="s">
        <v>38</v>
      </c>
      <c r="G5" s="21">
        <v>6.1725310569782775E-2</v>
      </c>
      <c r="H5" s="24">
        <v>1</v>
      </c>
      <c r="I5" s="24" t="s">
        <v>39</v>
      </c>
      <c r="J5" s="24">
        <v>4</v>
      </c>
    </row>
    <row r="6" spans="1:16" x14ac:dyDescent="0.35">
      <c r="E6" t="s">
        <v>22</v>
      </c>
      <c r="F6" s="24" t="s">
        <v>22</v>
      </c>
      <c r="G6" s="21" t="s">
        <v>22</v>
      </c>
      <c r="H6" s="24" t="s">
        <v>22</v>
      </c>
      <c r="I6" s="24" t="s">
        <v>7</v>
      </c>
      <c r="J6" s="24">
        <v>5</v>
      </c>
    </row>
    <row r="7" spans="1:16" ht="15" thickBot="1" x14ac:dyDescent="0.4">
      <c r="F7" s="25"/>
      <c r="G7" s="22"/>
      <c r="H7" s="25"/>
      <c r="I7" s="25" t="s">
        <v>11</v>
      </c>
      <c r="J7" s="25">
        <v>6</v>
      </c>
    </row>
    <row r="8" spans="1:16" ht="15" thickBot="1" x14ac:dyDescent="0.4"/>
    <row r="9" spans="1:16" s="26" customFormat="1" ht="43.5" x14ac:dyDescent="0.35">
      <c r="A9" s="35" t="s">
        <v>40</v>
      </c>
      <c r="B9" s="36" t="s">
        <v>30</v>
      </c>
      <c r="C9" s="26" t="s">
        <v>41</v>
      </c>
      <c r="D9" s="35" t="s">
        <v>42</v>
      </c>
      <c r="E9" s="36" t="s">
        <v>30</v>
      </c>
      <c r="F9" s="35" t="s">
        <v>43</v>
      </c>
      <c r="G9" s="36" t="s">
        <v>30</v>
      </c>
      <c r="J9" s="42"/>
      <c r="K9" s="43" t="s">
        <v>40</v>
      </c>
      <c r="L9" s="44" t="s">
        <v>30</v>
      </c>
      <c r="M9" s="43" t="s">
        <v>42</v>
      </c>
      <c r="N9" s="44" t="s">
        <v>30</v>
      </c>
      <c r="O9" s="43" t="s">
        <v>43</v>
      </c>
      <c r="P9" s="44" t="s">
        <v>30</v>
      </c>
    </row>
    <row r="10" spans="1:16" x14ac:dyDescent="0.35">
      <c r="A10" s="38">
        <v>1</v>
      </c>
      <c r="B10" s="37">
        <v>1</v>
      </c>
      <c r="C10">
        <v>0.7</v>
      </c>
      <c r="D10" s="24" t="s">
        <v>33</v>
      </c>
      <c r="E10" s="37">
        <v>4</v>
      </c>
      <c r="F10" s="24" t="s">
        <v>9</v>
      </c>
      <c r="G10" s="24">
        <v>1</v>
      </c>
      <c r="K10" s="45">
        <v>1</v>
      </c>
      <c r="L10" s="46">
        <v>1</v>
      </c>
      <c r="M10" s="49" t="s">
        <v>33</v>
      </c>
      <c r="N10" s="46">
        <v>4</v>
      </c>
      <c r="O10" s="49" t="s">
        <v>9</v>
      </c>
      <c r="P10" s="49">
        <v>1</v>
      </c>
    </row>
    <row r="11" spans="1:16" x14ac:dyDescent="0.35">
      <c r="A11" s="38">
        <v>2</v>
      </c>
      <c r="B11" s="37">
        <v>2</v>
      </c>
      <c r="C11">
        <v>0.76</v>
      </c>
      <c r="D11" s="24" t="s">
        <v>36</v>
      </c>
      <c r="E11" s="37">
        <v>3</v>
      </c>
      <c r="F11" s="24" t="s">
        <v>8</v>
      </c>
      <c r="G11" s="24">
        <v>2</v>
      </c>
      <c r="K11" s="45">
        <v>2</v>
      </c>
      <c r="L11" s="46">
        <v>2</v>
      </c>
      <c r="M11" s="49" t="s">
        <v>36</v>
      </c>
      <c r="N11" s="46">
        <v>3</v>
      </c>
      <c r="O11" s="49" t="s">
        <v>8</v>
      </c>
      <c r="P11" s="49">
        <v>2</v>
      </c>
    </row>
    <row r="12" spans="1:16" x14ac:dyDescent="0.35">
      <c r="A12" s="38">
        <v>3</v>
      </c>
      <c r="B12" s="37">
        <v>3</v>
      </c>
      <c r="C12">
        <v>0.82</v>
      </c>
      <c r="D12" s="24" t="s">
        <v>37</v>
      </c>
      <c r="E12" s="37">
        <v>2</v>
      </c>
      <c r="F12" s="24" t="s">
        <v>6</v>
      </c>
      <c r="G12" s="24">
        <v>3</v>
      </c>
      <c r="K12" s="45">
        <v>3</v>
      </c>
      <c r="L12" s="46">
        <v>3</v>
      </c>
      <c r="M12" s="49" t="s">
        <v>37</v>
      </c>
      <c r="N12" s="46">
        <v>2</v>
      </c>
      <c r="O12" s="49" t="s">
        <v>6</v>
      </c>
      <c r="P12" s="49">
        <v>3</v>
      </c>
    </row>
    <row r="13" spans="1:16" x14ac:dyDescent="0.35">
      <c r="A13" s="38">
        <v>4</v>
      </c>
      <c r="B13" s="37">
        <v>4</v>
      </c>
      <c r="C13">
        <v>0.88</v>
      </c>
      <c r="D13" s="24" t="s">
        <v>38</v>
      </c>
      <c r="E13" s="37">
        <v>1</v>
      </c>
      <c r="F13" s="24" t="s">
        <v>39</v>
      </c>
      <c r="G13" s="24">
        <v>4</v>
      </c>
      <c r="K13" s="45">
        <v>4</v>
      </c>
      <c r="L13" s="46">
        <v>4</v>
      </c>
      <c r="M13" s="49" t="s">
        <v>38</v>
      </c>
      <c r="N13" s="46">
        <v>1</v>
      </c>
      <c r="O13" s="49" t="s">
        <v>39</v>
      </c>
      <c r="P13" s="49">
        <v>4</v>
      </c>
    </row>
    <row r="14" spans="1:16" x14ac:dyDescent="0.35">
      <c r="A14" s="38">
        <v>5</v>
      </c>
      <c r="B14" s="37">
        <v>5</v>
      </c>
      <c r="C14">
        <v>0.94</v>
      </c>
      <c r="D14" s="38" t="s">
        <v>44</v>
      </c>
      <c r="E14" s="37">
        <v>1</v>
      </c>
      <c r="F14" s="24" t="s">
        <v>7</v>
      </c>
      <c r="G14" s="24">
        <v>5</v>
      </c>
      <c r="K14" s="45">
        <v>5</v>
      </c>
      <c r="L14" s="46">
        <v>5</v>
      </c>
      <c r="M14" s="45" t="s">
        <v>44</v>
      </c>
      <c r="N14" s="46">
        <v>1</v>
      </c>
      <c r="O14" s="49" t="s">
        <v>7</v>
      </c>
      <c r="P14" s="49">
        <v>5</v>
      </c>
    </row>
    <row r="15" spans="1:16" ht="15" thickBot="1" x14ac:dyDescent="0.4">
      <c r="A15" s="38">
        <v>6</v>
      </c>
      <c r="B15" s="37">
        <v>6</v>
      </c>
      <c r="C15">
        <v>1</v>
      </c>
      <c r="D15" s="38"/>
      <c r="E15" s="37">
        <v>1</v>
      </c>
      <c r="F15" s="25" t="s">
        <v>11</v>
      </c>
      <c r="G15" s="25">
        <v>6</v>
      </c>
      <c r="K15" s="45">
        <v>6</v>
      </c>
      <c r="L15" s="46">
        <v>6</v>
      </c>
      <c r="M15" s="41"/>
      <c r="O15" s="50" t="s">
        <v>11</v>
      </c>
      <c r="P15" s="50">
        <v>6</v>
      </c>
    </row>
    <row r="16" spans="1:16" ht="15" thickBot="1" x14ac:dyDescent="0.4">
      <c r="A16" s="22" t="s">
        <v>45</v>
      </c>
      <c r="B16" s="39">
        <v>6</v>
      </c>
      <c r="C16">
        <v>1</v>
      </c>
      <c r="D16" s="22"/>
      <c r="E16" s="39"/>
      <c r="K16" s="47" t="s">
        <v>46</v>
      </c>
      <c r="L16" s="48">
        <v>6</v>
      </c>
    </row>
    <row r="17" spans="1:18" x14ac:dyDescent="0.35">
      <c r="A17" t="s">
        <v>22</v>
      </c>
    </row>
    <row r="18" spans="1:18" x14ac:dyDescent="0.35">
      <c r="B18" s="34"/>
    </row>
    <row r="19" spans="1:18" x14ac:dyDescent="0.35">
      <c r="B19" s="34"/>
    </row>
    <row r="20" spans="1:18" x14ac:dyDescent="0.35">
      <c r="B20" s="34"/>
    </row>
    <row r="21" spans="1:18" ht="45.75" customHeight="1" x14ac:dyDescent="0.35">
      <c r="B21" s="34"/>
      <c r="K21" s="142" t="s">
        <v>47</v>
      </c>
      <c r="L21" s="142"/>
      <c r="M21" s="142"/>
      <c r="N21" s="142"/>
      <c r="O21" s="142"/>
      <c r="P21" s="142"/>
      <c r="Q21" s="142"/>
    </row>
    <row r="23" spans="1:18" ht="22.75" customHeight="1" x14ac:dyDescent="0.35">
      <c r="K23" s="141" t="s">
        <v>48</v>
      </c>
      <c r="L23" s="141"/>
      <c r="M23" s="141"/>
      <c r="N23" s="141"/>
      <c r="O23" s="141"/>
      <c r="P23" s="141"/>
      <c r="Q23" s="141"/>
      <c r="R23">
        <v>3</v>
      </c>
    </row>
    <row r="25" spans="1:18" ht="22.75" customHeight="1" x14ac:dyDescent="0.35">
      <c r="K25" s="141" t="s">
        <v>49</v>
      </c>
      <c r="L25" s="141"/>
      <c r="M25" s="141"/>
      <c r="N25" s="141"/>
      <c r="O25" s="141"/>
      <c r="P25" s="141"/>
      <c r="Q25" s="141"/>
      <c r="R25">
        <v>5</v>
      </c>
    </row>
    <row r="27" spans="1:18" ht="22.75" customHeight="1" x14ac:dyDescent="0.35">
      <c r="K27" s="141" t="s">
        <v>50</v>
      </c>
      <c r="L27" s="141"/>
      <c r="M27" s="141"/>
      <c r="N27" s="141"/>
      <c r="O27" s="141"/>
      <c r="P27" s="141"/>
      <c r="Q27" s="141"/>
      <c r="R27">
        <v>4</v>
      </c>
    </row>
    <row r="29" spans="1:18" ht="22.75" customHeight="1" x14ac:dyDescent="0.35">
      <c r="K29" s="141" t="s">
        <v>51</v>
      </c>
      <c r="L29" s="141"/>
      <c r="M29" s="141"/>
      <c r="N29" s="141"/>
      <c r="O29" s="141"/>
      <c r="P29" s="141"/>
      <c r="Q29" s="141"/>
      <c r="R29">
        <v>6</v>
      </c>
    </row>
    <row r="31" spans="1:18" ht="34.4" customHeight="1" x14ac:dyDescent="0.35">
      <c r="K31" s="141" t="s">
        <v>52</v>
      </c>
      <c r="L31" s="141"/>
      <c r="M31" s="141"/>
      <c r="N31" s="141"/>
      <c r="O31" s="141"/>
      <c r="P31" s="141"/>
      <c r="Q31" s="141"/>
    </row>
  </sheetData>
  <mergeCells count="6">
    <mergeCell ref="K31:Q31"/>
    <mergeCell ref="K21:Q21"/>
    <mergeCell ref="K23:Q23"/>
    <mergeCell ref="K25:Q25"/>
    <mergeCell ref="K27:Q27"/>
    <mergeCell ref="K29:Q2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BDCB78A256B2428F943D7F921693BF" ma:contentTypeVersion="20" ma:contentTypeDescription="Create a new document." ma:contentTypeScope="" ma:versionID="5bc97d653ccbd7cc989975af415bdd7b">
  <xsd:schema xmlns:xsd="http://www.w3.org/2001/XMLSchema" xmlns:xs="http://www.w3.org/2001/XMLSchema" xmlns:p="http://schemas.microsoft.com/office/2006/metadata/properties" xmlns:ns1="http://schemas.microsoft.com/sharepoint/v3" xmlns:ns2="eab27c9c-2319-4a31-acfd-7844cf27d069" xmlns:ns3="ff6cc6ab-f377-45db-88b7-f36e6ccbae48" targetNamespace="http://schemas.microsoft.com/office/2006/metadata/properties" ma:root="true" ma:fieldsID="473ac735f91e101e51d5b1f6feb0bce0" ns1:_="" ns2:_="" ns3:_="">
    <xsd:import namespace="http://schemas.microsoft.com/sharepoint/v3"/>
    <xsd:import namespace="eab27c9c-2319-4a31-acfd-7844cf27d069"/>
    <xsd:import namespace="ff6cc6ab-f377-45db-88b7-f36e6ccbae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SearchProperties" minOccurs="0"/>
                <xsd:element ref="ns2:MediaLengthInSecond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27c9c-2319-4a31-acfd-7844cf27d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485aa56-54bd-4632-b499-cfba422c642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6cc6ab-f377-45db-88b7-f36e6ccbae4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af9138b-46f9-43ad-843f-7dde241fd294}" ma:internalName="TaxCatchAll" ma:showField="CatchAllData" ma:web="ff6cc6ab-f377-45db-88b7-f36e6ccbae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ab27c9c-2319-4a31-acfd-7844cf27d069">
      <Terms xmlns="http://schemas.microsoft.com/office/infopath/2007/PartnerControls"/>
    </lcf76f155ced4ddcb4097134ff3c332f>
    <TaxCatchAll xmlns="ff6cc6ab-f377-45db-88b7-f36e6ccbae48"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615040D-3737-4F3F-8F4E-C8E08429F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b27c9c-2319-4a31-acfd-7844cf27d069"/>
    <ds:schemaRef ds:uri="ff6cc6ab-f377-45db-88b7-f36e6ccbae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68EE9C-F4A9-4226-B7D3-3E3C989D9CE4}">
  <ds:schemaRefs>
    <ds:schemaRef ds:uri="http://schemas.microsoft.com/sharepoint/v3/contenttype/forms"/>
  </ds:schemaRefs>
</ds:datastoreItem>
</file>

<file path=customXml/itemProps3.xml><?xml version="1.0" encoding="utf-8"?>
<ds:datastoreItem xmlns:ds="http://schemas.openxmlformats.org/officeDocument/2006/customXml" ds:itemID="{F26F70D7-42BD-4134-BAD8-A4CD04AFF2EA}">
  <ds:schemaRefs>
    <ds:schemaRef ds:uri="http://schemas.microsoft.com/office/2006/metadata/properties"/>
    <ds:schemaRef ds:uri="http://schemas.microsoft.com/office/infopath/2007/PartnerControls"/>
    <ds:schemaRef ds:uri="http://schemas.microsoft.com/sharepoint/v3"/>
    <ds:schemaRef ds:uri="eab27c9c-2319-4a31-acfd-7844cf27d069"/>
    <ds:schemaRef ds:uri="ff6cc6ab-f377-45db-88b7-f36e6ccbae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Subsidy points</vt:lpstr>
      <vt:lpstr>rev benefit income range</vt:lpstr>
      <vt:lpstr>if no funding FFY26</vt:lpstr>
      <vt:lpstr>Points Description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Margie Meehan (CAK)</dc:creator>
  <cp:keywords/>
  <dc:description/>
  <cp:lastModifiedBy>Bowling, Vickie (CHFS DCBS DFS)</cp:lastModifiedBy>
  <cp:revision/>
  <dcterms:created xsi:type="dcterms:W3CDTF">2024-05-03T19:24:40Z</dcterms:created>
  <dcterms:modified xsi:type="dcterms:W3CDTF">2025-08-05T16:31:15Z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0x01010049BDCB78A256B2428F943D7F921693BF</vt:lpwstr>
  </property>
  <property fmtid="{D5CDD505-2E9C-101B-9397-08002B2CF9AE}" pid="3" name="MediaServiceImageTags">
    <vt:lpwstr/>
  </property>
</Properties>
</file>