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codeName="ThisWorkbook"/>
  <mc:AlternateContent xmlns:mc="http://schemas.openxmlformats.org/markup-compatibility/2006">
    <mc:Choice Requires="x15">
      <x15ac:absPath xmlns:x15ac="http://schemas.microsoft.com/office/spreadsheetml/2010/11/ac" url="G:\Energy\EnergyServicesBureau\FEDERAL\LIHEAP Plan\2026\Attachments\"/>
    </mc:Choice>
  </mc:AlternateContent>
  <xr:revisionPtr revIDLastSave="0" documentId="13_ncr:1_{F90DC5B4-9F9C-47DE-931D-84B89D0AE169}" xr6:coauthVersionLast="47" xr6:coauthVersionMax="47" xr10:uidLastSave="{00000000-0000-0000-0000-000000000000}"/>
  <bookViews>
    <workbookView xWindow="28690" yWindow="-110" windowWidth="29020" windowHeight="15700" tabRatio="818" xr2:uid="{00000000-000D-0000-FFFF-FFFF00000000}"/>
  </bookViews>
  <sheets>
    <sheet name="Benefits" sheetId="1" r:id="rId1"/>
    <sheet name="Computation" sheetId="3" r:id="rId2"/>
    <sheet name="HT_Proxy" sheetId="5" r:id="rId3"/>
    <sheet name="PB_Proxy" sheetId="6" r:id="rId4"/>
    <sheet name="SMI_Lookup" sheetId="9" r:id="rId5"/>
    <sheet name="Cell_Reference" sheetId="8" r:id="rId6"/>
  </sheets>
  <definedNames>
    <definedName name="_SMI60">SMI_Lookup!#REF!</definedName>
    <definedName name="B_Cat_Eligible">Benefits!$B$14</definedName>
    <definedName name="B_Dwelling_Type">Benefits!$B$11</definedName>
    <definedName name="B_Dwelling_Type_ID">Benefits!$B$37</definedName>
    <definedName name="B_Income">Benefits!$B$15</definedName>
    <definedName name="B_Num_People">Benefits!$B$13</definedName>
    <definedName name="B_Num_Rooms">Benefits!$B$12</definedName>
    <definedName name="El_Usage">Benefits!$B$17</definedName>
    <definedName name="HT_Benefit_FPL">Computation!$C$12</definedName>
    <definedName name="HT_Benefit_Ratio">Computation!$C$15</definedName>
    <definedName name="HT_Electric_Baseload">Computation!$C$19</definedName>
    <definedName name="HT_FPL_Not_Eligible">Computation!$C$14</definedName>
    <definedName name="HT_Fuel_Cost">Benefits!$B$19</definedName>
    <definedName name="HT_Fuel_Type">Benefits!$B$16</definedName>
    <definedName name="HT_Funding_Factor">Computation!$C$16</definedName>
    <definedName name="HT_Heat_Cost">Computation!$B$36</definedName>
    <definedName name="HT_Max_Benefit">Computation!$C$17</definedName>
    <definedName name="HT_Maximum_Benefit">Computation!$C$17</definedName>
    <definedName name="HT_Min_Benefit">Computation!$C$18</definedName>
    <definedName name="HT_Minimum_Benefit">Computation!$C$18</definedName>
    <definedName name="HT_Proxy">Benefits!$B$30</definedName>
    <definedName name="HT_Shared_Business_Meter">Benefits!$B$18</definedName>
    <definedName name="HT_SMI_Not_Eligible">Computation!$C$13</definedName>
    <definedName name="PB_Baseload_Cost">Computation!$F$36</definedName>
    <definedName name="PB_Benefit_FPL">Computation!$G$12</definedName>
    <definedName name="PB_Benefit_Ratio">Computation!$G$15</definedName>
    <definedName name="PB_Electric_Baseload">Computation!$G$19</definedName>
    <definedName name="PB_FPL_Not_Eligible">Computation!$G$14</definedName>
    <definedName name="PB_Fuel_Cost">Benefits!$B$22</definedName>
    <definedName name="PB_Funding_Factor">Computation!$G$16</definedName>
    <definedName name="PB_Maximum_Benefit">Computation!$G$17</definedName>
    <definedName name="PB_Minimum_Benefit">Computation!$G$18</definedName>
    <definedName name="PB_Proxy">Benefits!$B$38</definedName>
    <definedName name="PB_Shared_Business_Meter">Benefits!$B$21</definedName>
    <definedName name="PB_SMI_Not_Eligible">Computation!$G$13</definedName>
    <definedName name="PB_Vendor">Benefits!$B$20</definedName>
    <definedName name="_xlnm.Print_Area" localSheetId="0">Benefits!$A$1:$D$42</definedName>
    <definedName name="_xlnm.Print_Area" localSheetId="5">Cell_Reference!$A$1:$E$35</definedName>
    <definedName name="_xlnm.Print_Area" localSheetId="1">Computation!$A$1:$G$45</definedName>
    <definedName name="_xlnm.Print_Area" localSheetId="2">HT_Proxy!$A$1:$H$28</definedName>
    <definedName name="_xlnm.Print_Area" localSheetId="3">PB_Proxy!$A$1:$F$8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23" i="9" l="1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C8" i="9"/>
  <c r="C7" i="9"/>
  <c r="C6" i="9"/>
  <c r="C5" i="9"/>
  <c r="C4" i="9"/>
  <c r="C12" i="1"/>
  <c r="C22" i="1"/>
  <c r="G13" i="3" l="1"/>
  <c r="C13" i="3"/>
  <c r="G22" i="3" l="1"/>
  <c r="G5" i="3"/>
  <c r="C5" i="3"/>
  <c r="C14" i="1" l="1"/>
  <c r="C8" i="3" l="1"/>
  <c r="C17" i="1" l="1"/>
  <c r="C22" i="3"/>
  <c r="G23" i="3" l="1"/>
  <c r="G8" i="3" l="1"/>
  <c r="F24" i="3"/>
  <c r="G32" i="3" s="1"/>
  <c r="G9" i="3" l="1"/>
  <c r="C13" i="1"/>
  <c r="C20" i="1"/>
  <c r="B37" i="1"/>
  <c r="C9" i="3"/>
  <c r="C14" i="3" s="1"/>
  <c r="B35" i="1" l="1"/>
  <c r="B36" i="1"/>
  <c r="G10" i="3"/>
  <c r="G11" i="3" s="1"/>
  <c r="G14" i="3"/>
  <c r="C10" i="3"/>
  <c r="C11" i="3" s="1"/>
  <c r="B38" i="1" l="1"/>
  <c r="G29" i="3" s="1"/>
  <c r="G31" i="3" s="1"/>
  <c r="C12" i="3"/>
  <c r="G12" i="3"/>
  <c r="B28" i="1"/>
  <c r="B29" i="1"/>
  <c r="B26" i="1" l="1" a="1"/>
  <c r="B26" i="1" s="1"/>
  <c r="G30" i="3"/>
  <c r="G33" i="3" s="1"/>
  <c r="G34" i="3" s="1"/>
  <c r="G35" i="3" s="1"/>
  <c r="B27" i="1" a="1"/>
  <c r="B27" i="1" s="1"/>
  <c r="F36" i="3" l="1"/>
  <c r="G39" i="3" s="1"/>
  <c r="G40" i="3" s="1"/>
  <c r="G41" i="3" s="1"/>
  <c r="I31" i="3"/>
  <c r="A27" i="1"/>
  <c r="A26" i="1"/>
  <c r="B39" i="1" l="1"/>
  <c r="C16" i="1"/>
  <c r="C11" i="1" l="1"/>
  <c r="C15" i="1"/>
  <c r="C19" i="1"/>
  <c r="B30" i="1" l="1"/>
  <c r="C29" i="3" s="1"/>
  <c r="C23" i="3"/>
  <c r="B26" i="3" s="1"/>
  <c r="C32" i="3" l="1"/>
  <c r="C31" i="3"/>
  <c r="C30" i="3" l="1"/>
  <c r="C33" i="3" s="1"/>
  <c r="C34" i="3" s="1"/>
  <c r="C35" i="3" s="1"/>
  <c r="B36" i="3" l="1"/>
  <c r="C39" i="3" s="1"/>
  <c r="C40" i="3" l="1"/>
  <c r="G42" i="3"/>
  <c r="G43" i="3" s="1"/>
  <c r="F45" i="3" s="1"/>
  <c r="B31" i="1"/>
  <c r="B40" i="1" l="1"/>
  <c r="C40" i="1" s="1"/>
  <c r="C41" i="3"/>
  <c r="C42" i="3" s="1"/>
  <c r="C43" i="3" s="1"/>
  <c r="B45" i="3" s="1"/>
  <c r="B32" i="1" s="1"/>
  <c r="C32" i="1" l="1"/>
  <c r="B4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tc={1E475A46-8A08-4BE6-96D3-6E4AFF42EA8B}</author>
    <author>tc={83C03701-D7F3-4757-9D57-FDABD8EAE8C6}</author>
  </authors>
  <commentList>
    <comment ref="E3" authorId="0" shapeId="0" xr:uid="{1E475A46-8A08-4BE6-96D3-6E4AFF42EA8B}">
      <text>
        <t>[Threaded comment]
Your version of Excel allows you to read this threaded comment; however, any edits to it will get removed if the file is opened in a newer version of Excel. Learn more: https://go.microsoft.com/fwlink/?linkid=870924
Comment:
    m = “Addl Proxy Amount”</t>
      </text>
    </comment>
    <comment ref="F3" authorId="1" shapeId="0" xr:uid="{83C03701-D7F3-4757-9D57-FDABD8EAE8C6}">
      <text>
        <t>[Threaded comment]
Your version of Excel allows you to read this threaded comment; however, any edits to it will get removed if the file is opened in a newer version of Excel. Learn more: https://go.microsoft.com/fwlink/?linkid=870924
Comment:
    b = “Base Proxy Amount”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tc={D2A24B18-E3C5-4D22-94DB-44ABE0CB2303}</author>
    <author>tc={149CB235-241B-4CE4-B31B-94D5C97FE30E}</author>
  </authors>
  <commentList>
    <comment ref="C3" authorId="0" shapeId="0" xr:uid="{D2A24B18-E3C5-4D22-94DB-44ABE0CB2303}">
      <text>
        <t>[Threaded comment]
Your version of Excel allows you to read this threaded comment; however, any edits to it will get removed if the file is opened in a newer version of Excel. Learn more: https://go.microsoft.com/fwlink/?linkid=870924
Comment:
    m = “Addl Proxy Amount”</t>
      </text>
    </comment>
    <comment ref="D3" authorId="1" shapeId="0" xr:uid="{149CB235-241B-4CE4-B31B-94D5C97FE30E}">
      <text>
        <t>[Threaded comment]
Your version of Excel allows you to read this threaded comment; however, any edits to it will get removed if the file is opened in a newer version of Excel. Learn more: https://go.microsoft.com/fwlink/?linkid=870924
Comment:
    b = “Base Proxy Amount”</t>
      </text>
    </comment>
  </commentList>
</comments>
</file>

<file path=xl/sharedStrings.xml><?xml version="1.0" encoding="utf-8"?>
<sst xmlns="http://schemas.openxmlformats.org/spreadsheetml/2006/main" count="298" uniqueCount="217">
  <si>
    <t>Error Notes</t>
  </si>
  <si>
    <t>Annual Income:</t>
  </si>
  <si>
    <t>Determine Benefit Percent of Federal Poverty Level</t>
  </si>
  <si>
    <t>Benefit Heating Cost</t>
  </si>
  <si>
    <t>Calculate the Benefit Amount</t>
  </si>
  <si>
    <t>Computed Benefit Amount</t>
  </si>
  <si>
    <t>Enter here</t>
  </si>
  <si>
    <t>Natural Gas</t>
  </si>
  <si>
    <t>max eligible heating fuel cost</t>
  </si>
  <si>
    <t>Enter the current benefit ratio constant</t>
  </si>
  <si>
    <t>Enter maximum benefit amount parameter</t>
  </si>
  <si>
    <t>Enter minimum benefit amount parameter</t>
  </si>
  <si>
    <t>Dwelling Type</t>
  </si>
  <si>
    <t>2 to 4 Units</t>
  </si>
  <si>
    <t>N</t>
  </si>
  <si>
    <t>Abbreviation Entries</t>
  </si>
  <si>
    <t>Instructions:  Enter applicant case data in yellow shaded cells only.  Calculated HEAT benefit will be shown at bottom.</t>
  </si>
  <si>
    <t>Case Criteria Questions</t>
  </si>
  <si>
    <t>Analyst: Update values in yellow boxes.</t>
  </si>
  <si>
    <t>Enter annual 100% poverty amount</t>
  </si>
  <si>
    <t>Enter additional 100% poverty amount per person</t>
  </si>
  <si>
    <t>Eligible Heating Costs</t>
  </si>
  <si>
    <t>fuel_type_id</t>
  </si>
  <si>
    <t>housing_type_id</t>
  </si>
  <si>
    <t>fuel_type_text</t>
  </si>
  <si>
    <t>housing_type_text</t>
  </si>
  <si>
    <t>m</t>
  </si>
  <si>
    <t>b</t>
  </si>
  <si>
    <t>IsFake</t>
  </si>
  <si>
    <t>Fuel Oil</t>
  </si>
  <si>
    <t>Single family house</t>
  </si>
  <si>
    <t>Mobile home</t>
  </si>
  <si>
    <t>Apartment, multi-unit building</t>
  </si>
  <si>
    <t>Rooming house, motel, hotel, YMCA, YWCA</t>
  </si>
  <si>
    <t>Propane (LP)</t>
  </si>
  <si>
    <t>Enter the electric baseload percentage to use</t>
  </si>
  <si>
    <t>Fuel Type ID</t>
  </si>
  <si>
    <t>Dwelling Type ID for proxy lookup.</t>
  </si>
  <si>
    <t>Fuel Type ID for proxy lookup.</t>
  </si>
  <si>
    <t>New Format pasted from Access table.</t>
  </si>
  <si>
    <t>Incremental value multiplied by room count.</t>
  </si>
  <si>
    <t>Intial base value for dwelling type.</t>
  </si>
  <si>
    <t>Final dwelling and fuel to rooms proxy value.</t>
  </si>
  <si>
    <t>Note: If heat is electric, enter the entire annual bill amount.</t>
  </si>
  <si>
    <t>Refer to user manual instructions.</t>
  </si>
  <si>
    <t>Total Calculated Proxy Value</t>
  </si>
  <si>
    <t>Proxy lookup uses nine room maximum.</t>
  </si>
  <si>
    <t>Determine Percent of Federal Poverty Level</t>
  </si>
  <si>
    <t>Enter the current PB Funding Factor</t>
  </si>
  <si>
    <t>Calculated Benefit Amount</t>
  </si>
  <si>
    <t>Baseload Initial Value</t>
  </si>
  <si>
    <t>Baseload Incremental Value</t>
  </si>
  <si>
    <t>Incremental value multiplied by household count.</t>
  </si>
  <si>
    <t>Dwelling Type ID</t>
  </si>
  <si>
    <t>Total proxy value to use in benefit computation.</t>
  </si>
  <si>
    <t>Number of persons in the household (include all):</t>
  </si>
  <si>
    <t>Proxy lookup uses 9 maximum, poverty uses all.</t>
  </si>
  <si>
    <t>Heating Fuel (two letter code):</t>
  </si>
  <si>
    <t>Reported annual heating fuel cost (if any):</t>
  </si>
  <si>
    <t>Dwelling Type (a, d, m, r, or s):</t>
  </si>
  <si>
    <t>Number of rooms (do not count hallways and bathrooms):</t>
  </si>
  <si>
    <t>Is household categorically eligible? (y or n)</t>
  </si>
  <si>
    <t>Non-heating annual electric bill (if any):</t>
  </si>
  <si>
    <r>
      <t xml:space="preserve">See </t>
    </r>
    <r>
      <rPr>
        <i/>
        <sz val="12"/>
        <rFont val="Calibri"/>
        <family val="2"/>
      </rPr>
      <t>Abbreviation Entries</t>
    </r>
    <r>
      <rPr>
        <sz val="12"/>
        <rFont val="Calibri"/>
        <family val="2"/>
      </rPr>
      <t xml:space="preserve"> for allowable data entry. Check for error messages  under</t>
    </r>
    <r>
      <rPr>
        <i/>
        <sz val="12"/>
        <rFont val="Calibri"/>
        <family val="2"/>
      </rPr>
      <t xml:space="preserve"> Error Notes </t>
    </r>
    <r>
      <rPr>
        <sz val="12"/>
        <rFont val="Calibri"/>
        <family val="2"/>
      </rPr>
      <t>after entering case data.</t>
    </r>
  </si>
  <si>
    <t>Total Benefit Payments</t>
  </si>
  <si>
    <t>Applicant Name:</t>
  </si>
  <si>
    <t>Applicant ID:</t>
  </si>
  <si>
    <t>Heating Fuel Provider:</t>
  </si>
  <si>
    <t>Electricity Provider:</t>
  </si>
  <si>
    <t>Compare Baseload Cost to Proxy Value</t>
  </si>
  <si>
    <t>Compare Heating Cost to Proxy Value</t>
  </si>
  <si>
    <t>Determine Electric Baseload Amount</t>
  </si>
  <si>
    <t>Determine Eligible Heating Cost</t>
  </si>
  <si>
    <t>max eligible baseload proxy cost</t>
  </si>
  <si>
    <t>min eliigible baseload proxy cost</t>
  </si>
  <si>
    <t>Benefit Formula:</t>
  </si>
  <si>
    <t>Benefit Baseload Cost</t>
  </si>
  <si>
    <t>Comparison to Maximum Benefit Allowed:</t>
  </si>
  <si>
    <t>Comparison to Minimum Benefit Allowed:</t>
  </si>
  <si>
    <t>Round Down to Dollar:</t>
  </si>
  <si>
    <t>=Benefits!$B$16</t>
  </si>
  <si>
    <t>=Benefits!$B$32</t>
  </si>
  <si>
    <t>HT_Benefit_FPL</t>
  </si>
  <si>
    <t>HT_Benefit_Ratio</t>
  </si>
  <si>
    <t>HT_Fuel_Cost</t>
  </si>
  <si>
    <t>=Benefits!$B$12</t>
  </si>
  <si>
    <t>HT_Fuel_Type</t>
  </si>
  <si>
    <t>=Benefits!$B$11</t>
  </si>
  <si>
    <t>HT_Maximum_Benefit</t>
  </si>
  <si>
    <t>HT_Minimum_Benefit</t>
  </si>
  <si>
    <t>HT_Proxy</t>
  </si>
  <si>
    <t>=Benefits!$B$26</t>
  </si>
  <si>
    <t>=Benefits!$B$18</t>
  </si>
  <si>
    <t>=Benefits!$B$15</t>
  </si>
  <si>
    <t>=Benefits!$B$17</t>
  </si>
  <si>
    <t>PB_Benefit_FPL</t>
  </si>
  <si>
    <t>PB_Benefit_Ratio</t>
  </si>
  <si>
    <t>PB_Fuel_Cost</t>
  </si>
  <si>
    <t>=Benefits!$B$14</t>
  </si>
  <si>
    <t>PB_Funding_Factor</t>
  </si>
  <si>
    <t>PB_Maximum_Benefit</t>
  </si>
  <si>
    <t>PB_Minimum_Benefit</t>
  </si>
  <si>
    <t>PB_Proxy</t>
  </si>
  <si>
    <t>=Benefits!$B$33</t>
  </si>
  <si>
    <t>PB_Vendor</t>
  </si>
  <si>
    <t>=Benefits!$B$13</t>
  </si>
  <si>
    <t>Named Cells Used in Benefit Calculator Spreadsheets</t>
  </si>
  <si>
    <t>HT_Electric_Baseload</t>
  </si>
  <si>
    <t>HT_Funding_Factor</t>
  </si>
  <si>
    <t>HT_Max_Benefit</t>
  </si>
  <si>
    <t>HT_Min_Benefit</t>
  </si>
  <si>
    <t>PB_Electric_Baseload</t>
  </si>
  <si>
    <t>B_Dwelling_Type</t>
  </si>
  <si>
    <t>B_Dwelling_Type_ID</t>
  </si>
  <si>
    <t>B_Income</t>
  </si>
  <si>
    <t>B_Num_People</t>
  </si>
  <si>
    <t>B_Num_Rooms</t>
  </si>
  <si>
    <t>HT_Heat_Cost</t>
  </si>
  <si>
    <t>PB_Baseload_Cost</t>
  </si>
  <si>
    <t>HEAT Proxy Value:</t>
  </si>
  <si>
    <t>2 * Proxy Check:</t>
  </si>
  <si>
    <t>0.75 * Proxy Check:</t>
  </si>
  <si>
    <t>Eligible Heating Cost:</t>
  </si>
  <si>
    <t>Calculate Max (2 * Proxy):</t>
  </si>
  <si>
    <t>Calculate Min (0.75 * Proxy):</t>
  </si>
  <si>
    <t>Applicable Proxy:</t>
  </si>
  <si>
    <t>Maximum Household Poverty Level:</t>
  </si>
  <si>
    <t>Actual Household Poverty Level:</t>
  </si>
  <si>
    <t>Not-Eligibile Flag (1=Yes, 0=No):</t>
  </si>
  <si>
    <t>Max Cap 215%:</t>
  </si>
  <si>
    <t>Min Floor 60%:</t>
  </si>
  <si>
    <t>Analyst: Update values in yellow boxes only.</t>
  </si>
  <si>
    <t>Benefit Poverty Level used for LIHEAP Benefits:</t>
  </si>
  <si>
    <t>Poverty Level 1 Person Household:</t>
  </si>
  <si>
    <t>Poverty Level Each Add'l person:</t>
  </si>
  <si>
    <t>Benefit Ratio:</t>
  </si>
  <si>
    <t>PB Funding Factor:</t>
  </si>
  <si>
    <t>Maximum Benefit:</t>
  </si>
  <si>
    <t>Minimum Benefit:</t>
  </si>
  <si>
    <t>PB Proxy Value:</t>
  </si>
  <si>
    <t>Baseload Cost:</t>
  </si>
  <si>
    <t>Baseload If Costs Calculated:</t>
  </si>
  <si>
    <t>Applicable Baseload:</t>
  </si>
  <si>
    <t>Eligible Baselod Cost:</t>
  </si>
  <si>
    <t>Calculate Min (0.5 * Proxy):</t>
  </si>
  <si>
    <t>LIHEAP Electric Baseload Factor:</t>
  </si>
  <si>
    <t>PB Electric Baseload Factor:</t>
  </si>
  <si>
    <t>Electric Baseload:</t>
  </si>
  <si>
    <t>Applicable Baseload Amount:</t>
  </si>
  <si>
    <t>B_Cat_Eligible</t>
  </si>
  <si>
    <t>=Benefits!$B$19</t>
  </si>
  <si>
    <t>Upper or lower case entry OK.</t>
  </si>
  <si>
    <t>Household Size</t>
  </si>
  <si>
    <t>Annual Income</t>
  </si>
  <si>
    <t xml:space="preserve">Paste from Access Calculator or Excel </t>
  </si>
  <si>
    <t>FPL Not-Eligibile Flag:</t>
  </si>
  <si>
    <t>State Median Income Not Eligible Flag:</t>
  </si>
  <si>
    <t>Heating Proxy Calculation</t>
  </si>
  <si>
    <t>PB Proxy Calculation</t>
  </si>
  <si>
    <t>HT_FPL_Not_Eligible</t>
  </si>
  <si>
    <t>HT_SMI_Not_Eligible</t>
  </si>
  <si>
    <t>PB_FPL_Not_Eligible</t>
  </si>
  <si>
    <t>PB_SMI_Not_Eligible</t>
  </si>
  <si>
    <t>=Computation!$C$10</t>
  </si>
  <si>
    <t>=Computation!$C$13</t>
  </si>
  <si>
    <t>=Computation!$C$17</t>
  </si>
  <si>
    <t>=Computation!$C$12</t>
  </si>
  <si>
    <t>=Computation!$C$14</t>
  </si>
  <si>
    <t>=Computation!$B$34</t>
  </si>
  <si>
    <t>=Computation!$C$15</t>
  </si>
  <si>
    <t>=Computation!$C$16</t>
  </si>
  <si>
    <t>=Computation!$C$11</t>
  </si>
  <si>
    <t>=Computation!$F$32</t>
  </si>
  <si>
    <t>=Computation!$G$10</t>
  </si>
  <si>
    <t>=Computation!$G$13</t>
  </si>
  <si>
    <t>=Computation!$G$17</t>
  </si>
  <si>
    <t>=Computation!$G$12</t>
  </si>
  <si>
    <t>=Computation!$G$14</t>
  </si>
  <si>
    <t>=Computation!$G$15</t>
  </si>
  <si>
    <t>=Computation!$G$16</t>
  </si>
  <si>
    <t>=Computation!$G$11</t>
  </si>
  <si>
    <t>LIHEAP Benefit</t>
  </si>
  <si>
    <t>PB Benefit</t>
  </si>
  <si>
    <t>Check if PB Vendor and Benefit Formula:</t>
  </si>
  <si>
    <t>Income and Catagorical Eligibility Check:</t>
  </si>
  <si>
    <t>Electric Heat</t>
  </si>
  <si>
    <t>Wood and Other</t>
  </si>
  <si>
    <t>Fuel type ID and then Housing Type ID in that order!!!!</t>
  </si>
  <si>
    <t>Calculated Benefit</t>
  </si>
  <si>
    <t>Annual cost in dollars and cents. If heat fuel is electric, leave null</t>
  </si>
  <si>
    <t>=IF(HT_Fuel_Type="el", G34,IF(PB_Fuel_Cost=0,G31,G34))</t>
  </si>
  <si>
    <t>=IF(PB_Fuel_Cost&lt;G31,G31,IF(PB_Fuel_Cost&gt;G30,G30,IF(PB_Fuel_Cost&lt;=0,IF(HT_Fuel_Cost&lt;=0,G31,G34),PB_Fuel_Cost)))</t>
  </si>
  <si>
    <t xml:space="preserve">IMPORTANT NOTE: * * * Use Control+Shift+Enter to add curry brackets around INDEX/MATCH functions in cells B24 and B25. * * * </t>
  </si>
  <si>
    <t>Version: 2016.09.22</t>
  </si>
  <si>
    <t>If electric, what is the usage type:</t>
  </si>
  <si>
    <t>Is electric meter a Shared Meter or Business Meter?</t>
  </si>
  <si>
    <t>Is heating-fuel meter a Shared Meter or Business Meter?</t>
  </si>
  <si>
    <t>LIHEAP Funding Factor:</t>
  </si>
  <si>
    <t>min eligible heating fuel cost</t>
  </si>
  <si>
    <t>0.5 * Proxy Check:</t>
  </si>
  <si>
    <t>HE+ Benefit Calculations</t>
  </si>
  <si>
    <t>One Month Income</t>
  </si>
  <si>
    <t>Three Month Income</t>
  </si>
  <si>
    <r>
      <t>(</t>
    </r>
    <r>
      <rPr>
        <b/>
        <sz val="10"/>
        <rFont val="Calibri"/>
        <family val="2"/>
      </rPr>
      <t>A</t>
    </r>
    <r>
      <rPr>
        <sz val="10"/>
        <rFont val="Calibri"/>
        <family val="2"/>
      </rPr>
      <t>)partment, (</t>
    </r>
    <r>
      <rPr>
        <b/>
        <sz val="10"/>
        <rFont val="Calibri"/>
        <family val="2"/>
      </rPr>
      <t>D</t>
    </r>
    <r>
      <rPr>
        <sz val="10"/>
        <rFont val="Calibri"/>
        <family val="2"/>
      </rPr>
      <t>)uplex (2-4 units), (</t>
    </r>
    <r>
      <rPr>
        <b/>
        <sz val="10"/>
        <rFont val="Calibri"/>
        <family val="2"/>
      </rPr>
      <t>M</t>
    </r>
    <r>
      <rPr>
        <sz val="10"/>
        <rFont val="Calibri"/>
        <family val="2"/>
      </rPr>
      <t>)anufactured/mobile home, (</t>
    </r>
    <r>
      <rPr>
        <b/>
        <sz val="10"/>
        <rFont val="Calibri"/>
        <family val="2"/>
      </rPr>
      <t>R</t>
    </r>
    <r>
      <rPr>
        <sz val="10"/>
        <rFont val="Calibri"/>
        <family val="2"/>
      </rPr>
      <t>)ooming house, (</t>
    </r>
    <r>
      <rPr>
        <b/>
        <sz val="10"/>
        <rFont val="Calibri"/>
        <family val="2"/>
      </rPr>
      <t>S</t>
    </r>
    <r>
      <rPr>
        <sz val="10"/>
        <rFont val="Calibri"/>
        <family val="2"/>
      </rPr>
      <t>)ingle family</t>
    </r>
  </si>
  <si>
    <r>
      <t>(</t>
    </r>
    <r>
      <rPr>
        <b/>
        <sz val="10"/>
        <rFont val="Calibri"/>
        <family val="2"/>
      </rPr>
      <t>Y</t>
    </r>
    <r>
      <rPr>
        <sz val="10"/>
        <rFont val="Calibri"/>
        <family val="2"/>
      </rPr>
      <t>)es, (</t>
    </r>
    <r>
      <rPr>
        <b/>
        <sz val="10"/>
        <rFont val="Calibri"/>
        <family val="2"/>
      </rPr>
      <t>N</t>
    </r>
    <r>
      <rPr>
        <sz val="10"/>
        <rFont val="Calibri"/>
        <family val="2"/>
      </rPr>
      <t>)o</t>
    </r>
  </si>
  <si>
    <r>
      <t>(</t>
    </r>
    <r>
      <rPr>
        <b/>
        <sz val="10"/>
        <rFont val="Calibri"/>
        <family val="2"/>
      </rPr>
      <t>El</t>
    </r>
    <r>
      <rPr>
        <sz val="10"/>
        <rFont val="Calibri"/>
        <family val="2"/>
      </rPr>
      <t>)ectric, (</t>
    </r>
    <r>
      <rPr>
        <b/>
        <sz val="10"/>
        <rFont val="Calibri"/>
        <family val="2"/>
      </rPr>
      <t>Fu</t>
    </r>
    <r>
      <rPr>
        <sz val="10"/>
        <rFont val="Calibri"/>
        <family val="2"/>
      </rPr>
      <t>)el oil, (</t>
    </r>
    <r>
      <rPr>
        <b/>
        <sz val="10"/>
        <rFont val="Calibri"/>
        <family val="2"/>
      </rPr>
      <t>Na</t>
    </r>
    <r>
      <rPr>
        <sz val="10"/>
        <rFont val="Calibri"/>
        <family val="2"/>
      </rPr>
      <t>)tural gas, (</t>
    </r>
    <r>
      <rPr>
        <b/>
        <sz val="10"/>
        <rFont val="Calibri"/>
        <family val="2"/>
      </rPr>
      <t>Pr</t>
    </r>
    <r>
      <rPr>
        <sz val="10"/>
        <rFont val="Calibri"/>
        <family val="2"/>
      </rPr>
      <t>)opane, (</t>
    </r>
    <r>
      <rPr>
        <b/>
        <sz val="10"/>
        <rFont val="Calibri"/>
        <family val="2"/>
      </rPr>
      <t>Wo</t>
    </r>
    <r>
      <rPr>
        <sz val="10"/>
        <rFont val="Calibri"/>
        <family val="2"/>
      </rPr>
      <t>)od-Other</t>
    </r>
  </si>
  <si>
    <r>
      <t>(</t>
    </r>
    <r>
      <rPr>
        <b/>
        <sz val="10"/>
        <rFont val="Calibri"/>
        <family val="2"/>
      </rPr>
      <t>B</t>
    </r>
    <r>
      <rPr>
        <sz val="10"/>
        <rFont val="Calibri"/>
        <family val="2"/>
      </rPr>
      <t>)oth, (</t>
    </r>
    <r>
      <rPr>
        <b/>
        <sz val="10"/>
        <rFont val="Calibri"/>
        <family val="2"/>
      </rPr>
      <t>H</t>
    </r>
    <r>
      <rPr>
        <sz val="10"/>
        <rFont val="Calibri"/>
        <family val="2"/>
      </rPr>
      <t>)eat, (</t>
    </r>
    <r>
      <rPr>
        <b/>
        <sz val="10"/>
        <rFont val="Calibri"/>
        <family val="2"/>
      </rPr>
      <t>N</t>
    </r>
    <r>
      <rPr>
        <sz val="10"/>
        <rFont val="Calibri"/>
        <family val="2"/>
      </rPr>
      <t>)on-heat</t>
    </r>
  </si>
  <si>
    <r>
      <rPr>
        <sz val="12"/>
        <rFont val="Calibri"/>
        <family val="2"/>
      </rPr>
      <t>To be Paid</t>
    </r>
    <r>
      <rPr>
        <b/>
        <sz val="12"/>
        <rFont val="Calibri"/>
        <family val="2"/>
      </rPr>
      <t xml:space="preserve"> LIHEAP </t>
    </r>
    <r>
      <rPr>
        <sz val="12"/>
        <rFont val="Calibri"/>
        <family val="2"/>
      </rPr>
      <t>Benefit</t>
    </r>
  </si>
  <si>
    <r>
      <rPr>
        <sz val="12"/>
        <rFont val="Calibri"/>
        <family val="2"/>
      </rPr>
      <t>To be Paid</t>
    </r>
    <r>
      <rPr>
        <b/>
        <sz val="12"/>
        <rFont val="Calibri"/>
        <family val="2"/>
      </rPr>
      <t xml:space="preserve"> Public Benefit</t>
    </r>
  </si>
  <si>
    <t xml:space="preserve">                                                                                                                          </t>
  </si>
  <si>
    <r>
      <rPr>
        <b/>
        <sz val="10"/>
        <rFont val="Calibri"/>
        <family val="2"/>
      </rPr>
      <t>1 month</t>
    </r>
    <r>
      <rPr>
        <sz val="10"/>
        <rFont val="Calibri"/>
        <family val="2"/>
      </rPr>
      <t xml:space="preserve"> household income:</t>
    </r>
  </si>
  <si>
    <t>Is electric vendor a Public Benefits participant?</t>
  </si>
  <si>
    <t>Motel or Camper/RV</t>
  </si>
  <si>
    <t>NEW HE+ Benefit Calculator - FFY2026</t>
  </si>
  <si>
    <t>LIHEAP Proxy Lookup Values -- FY2026</t>
  </si>
  <si>
    <t>PB Proxy Lookup Values -- FY2026</t>
  </si>
  <si>
    <t>State Median Income Lookup -- FY2026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</si>
</sst>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_);[Red]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0.0000%"/>
    <numFmt numFmtId="167" formatCode="0.000%"/>
    <numFmt numFmtId="168" formatCode="0.00000"/>
  </numFmts>
  <fonts count="31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i/>
      <sz val="14"/>
      <name val="Times New Roman"/>
      <family val="1"/>
    </font>
    <font>
      <sz val="10"/>
      <name val="Arial"/>
      <family val="2"/>
    </font>
    <font>
      <sz val="12"/>
      <name val="Calibri"/>
      <family val="2"/>
    </font>
    <font>
      <i/>
      <sz val="12"/>
      <color theme="3" tint="-0.249977111117893"/>
      <name val="Calibri"/>
      <family val="2"/>
    </font>
    <font>
      <i/>
      <sz val="12"/>
      <name val="Calibri"/>
      <family val="2"/>
    </font>
    <font>
      <sz val="10"/>
      <color indexed="8"/>
      <name val="Arial"/>
      <family val="2"/>
    </font>
    <font>
      <sz val="10"/>
      <color indexed="8"/>
      <name val="Calibri"/>
      <family val="2"/>
    </font>
    <font>
      <sz val="10"/>
      <color indexed="8"/>
      <name val="Arial"/>
      <family val="2"/>
    </font>
    <font>
      <sz val="10"/>
      <name val="Calibri"/>
      <family val="2"/>
    </font>
    <font>
      <i/>
      <sz val="14"/>
      <name val="Calibri"/>
      <family val="2"/>
    </font>
    <font>
      <b/>
      <sz val="10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i/>
      <sz val="16"/>
      <name val="Calibri"/>
      <family val="2"/>
    </font>
    <font>
      <sz val="14"/>
      <name val="Calibri"/>
      <family val="2"/>
    </font>
    <font>
      <i/>
      <sz val="1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i/>
      <sz val="11"/>
      <color rgb="FFC00000"/>
      <name val="Calibri"/>
      <family val="2"/>
    </font>
    <font>
      <sz val="10"/>
      <color indexed="10"/>
      <name val="Calibri"/>
      <family val="2"/>
    </font>
    <font>
      <b/>
      <i/>
      <sz val="10"/>
      <color rgb="FFFF0000"/>
      <name val="Calibri"/>
      <family val="2"/>
    </font>
    <font>
      <b/>
      <sz val="10"/>
      <color rgb="FFFF0000"/>
      <name val="Calibri"/>
      <family val="2"/>
    </font>
    <font>
      <b/>
      <sz val="12"/>
      <name val="Calibri"/>
      <family val="2"/>
    </font>
    <font>
      <sz val="10"/>
      <color indexed="8"/>
      <name val="Arial"/>
      <family val="2"/>
    </font>
    <font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64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indexed="64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24994659260841701"/>
      </left>
      <right style="thin">
        <color indexed="64"/>
      </right>
      <top style="thin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ck">
        <color rgb="FF00B0F0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rgb="FF00B0F0"/>
      </left>
      <right style="thin">
        <color indexed="22"/>
      </right>
      <top style="thin">
        <color indexed="22"/>
      </top>
      <bottom style="thick">
        <color rgb="FF00B0F0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ck">
        <color rgb="FF00B0F0"/>
      </left>
      <right style="thin">
        <color indexed="22"/>
      </right>
      <top style="thick">
        <color rgb="FF00B0F0"/>
      </top>
      <bottom style="thin">
        <color indexed="22"/>
      </bottom>
      <diagonal/>
    </border>
    <border>
      <left style="thin">
        <color indexed="22"/>
      </left>
      <right style="thick">
        <color rgb="FF00B0F0"/>
      </right>
      <top style="thick">
        <color rgb="FF00B0F0"/>
      </top>
      <bottom style="thin">
        <color indexed="22"/>
      </bottom>
      <diagonal/>
    </border>
    <border>
      <left style="thin">
        <color indexed="22"/>
      </left>
      <right style="thick">
        <color rgb="FF00B0F0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ck">
        <color rgb="FF00B0F0"/>
      </right>
      <top style="thin">
        <color indexed="22"/>
      </top>
      <bottom style="thick">
        <color rgb="FF00B0F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7" fillId="0" borderId="0" applyFont="0" applyFill="0" applyBorder="0" applyAlignment="0" applyProtection="0"/>
    <xf numFmtId="0" fontId="4" fillId="0" borderId="0"/>
    <xf numFmtId="0" fontId="11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29" fillId="0" borderId="0"/>
  </cellStyleXfs>
  <cellXfs count="210">
    <xf numFmtId="0" fontId="0" fillId="0" borderId="0" xfId="0"/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5" fillId="4" borderId="25" xfId="13" applyFont="1" applyFill="1" applyBorder="1" applyAlignment="1">
      <alignment horizontal="center"/>
    </xf>
    <xf numFmtId="0" fontId="5" fillId="4" borderId="25" xfId="14" applyFont="1" applyFill="1" applyBorder="1" applyAlignment="1">
      <alignment horizontal="center"/>
    </xf>
    <xf numFmtId="0" fontId="14" fillId="0" borderId="0" xfId="0" applyFont="1"/>
    <xf numFmtId="0" fontId="5" fillId="4" borderId="25" xfId="12" applyFont="1" applyFill="1" applyBorder="1" applyAlignment="1">
      <alignment horizontal="center"/>
    </xf>
    <xf numFmtId="0" fontId="5" fillId="0" borderId="24" xfId="12" applyFont="1" applyBorder="1" applyAlignment="1">
      <alignment horizontal="right" wrapText="1"/>
    </xf>
    <xf numFmtId="0" fontId="5" fillId="4" borderId="25" xfId="11" applyFont="1" applyFill="1" applyBorder="1" applyAlignment="1">
      <alignment horizontal="center"/>
    </xf>
    <xf numFmtId="0" fontId="5" fillId="4" borderId="50" xfId="11" applyFont="1" applyFill="1" applyBorder="1" applyAlignment="1">
      <alignment horizontal="center"/>
    </xf>
    <xf numFmtId="0" fontId="5" fillId="0" borderId="24" xfId="11" applyFont="1" applyBorder="1" applyAlignment="1">
      <alignment horizontal="right" wrapText="1"/>
    </xf>
    <xf numFmtId="0" fontId="5" fillId="0" borderId="24" xfId="11" applyFont="1" applyBorder="1" applyAlignment="1">
      <alignment wrapText="1"/>
    </xf>
    <xf numFmtId="0" fontId="5" fillId="0" borderId="49" xfId="11" applyFont="1" applyBorder="1" applyAlignment="1">
      <alignment wrapText="1"/>
    </xf>
    <xf numFmtId="0" fontId="12" fillId="0" borderId="0" xfId="14" applyFont="1"/>
    <xf numFmtId="0" fontId="17" fillId="0" borderId="0" xfId="0" applyFont="1"/>
    <xf numFmtId="0" fontId="19" fillId="0" borderId="0" xfId="0" applyFont="1" applyAlignment="1">
      <alignment horizontal="center" vertical="top"/>
    </xf>
    <xf numFmtId="0" fontId="21" fillId="0" borderId="0" xfId="4" applyFont="1" applyAlignment="1">
      <alignment vertical="center"/>
    </xf>
    <xf numFmtId="0" fontId="21" fillId="0" borderId="0" xfId="0" applyFont="1" applyAlignment="1">
      <alignment vertical="center"/>
    </xf>
    <xf numFmtId="0" fontId="14" fillId="0" borderId="2" xfId="0" applyFont="1" applyBorder="1"/>
    <xf numFmtId="0" fontId="17" fillId="0" borderId="0" xfId="0" applyFont="1" applyAlignment="1">
      <alignment horizontal="right" indent="1"/>
    </xf>
    <xf numFmtId="44" fontId="17" fillId="0" borderId="3" xfId="1" applyFont="1" applyBorder="1"/>
    <xf numFmtId="7" fontId="17" fillId="0" borderId="3" xfId="1" applyNumberFormat="1" applyFont="1" applyBorder="1" applyAlignment="1">
      <alignment horizontal="right" indent="1"/>
    </xf>
    <xf numFmtId="0" fontId="17" fillId="0" borderId="0" xfId="0" applyFont="1" applyAlignment="1">
      <alignment horizontal="left" indent="1"/>
    </xf>
    <xf numFmtId="0" fontId="17" fillId="0" borderId="2" xfId="0" applyFont="1" applyBorder="1" applyAlignment="1">
      <alignment horizontal="left" indent="1"/>
    </xf>
    <xf numFmtId="44" fontId="17" fillId="0" borderId="0" xfId="1" applyFont="1" applyBorder="1" applyAlignment="1">
      <alignment horizontal="right" indent="1"/>
    </xf>
    <xf numFmtId="6" fontId="17" fillId="2" borderId="7" xfId="1" applyNumberFormat="1" applyFont="1" applyFill="1" applyBorder="1" applyProtection="1">
      <protection locked="0"/>
    </xf>
    <xf numFmtId="0" fontId="17" fillId="0" borderId="0" xfId="7" applyFont="1" applyAlignment="1">
      <alignment horizontal="left" indent="1"/>
    </xf>
    <xf numFmtId="0" fontId="17" fillId="0" borderId="2" xfId="0" applyFont="1" applyBorder="1" applyAlignment="1">
      <alignment horizontal="right" indent="1"/>
    </xf>
    <xf numFmtId="7" fontId="17" fillId="0" borderId="3" xfId="1" applyNumberFormat="1" applyFont="1" applyBorder="1" applyAlignment="1">
      <alignment horizontal="right"/>
    </xf>
    <xf numFmtId="0" fontId="17" fillId="0" borderId="0" xfId="7" quotePrefix="1" applyFont="1" applyAlignment="1">
      <alignment horizontal="left" indent="1"/>
    </xf>
    <xf numFmtId="166" fontId="17" fillId="0" borderId="3" xfId="2" applyNumberFormat="1" applyFont="1" applyBorder="1"/>
    <xf numFmtId="166" fontId="17" fillId="0" borderId="3" xfId="2" applyNumberFormat="1" applyFont="1" applyBorder="1" applyAlignment="1">
      <alignment horizontal="right"/>
    </xf>
    <xf numFmtId="167" fontId="17" fillId="0" borderId="3" xfId="8" applyNumberFormat="1" applyFont="1" applyBorder="1"/>
    <xf numFmtId="9" fontId="17" fillId="0" borderId="3" xfId="2" applyFont="1" applyBorder="1"/>
    <xf numFmtId="0" fontId="17" fillId="0" borderId="3" xfId="8" applyNumberFormat="1" applyFont="1" applyBorder="1"/>
    <xf numFmtId="0" fontId="17" fillId="0" borderId="2" xfId="0" applyFont="1" applyBorder="1"/>
    <xf numFmtId="0" fontId="17" fillId="0" borderId="3" xfId="0" applyFont="1" applyBorder="1"/>
    <xf numFmtId="0" fontId="17" fillId="0" borderId="0" xfId="7" applyFont="1" applyAlignment="1">
      <alignment horizontal="right" indent="1"/>
    </xf>
    <xf numFmtId="0" fontId="17" fillId="2" borderId="7" xfId="0" applyFont="1" applyFill="1" applyBorder="1" applyProtection="1">
      <protection locked="0"/>
    </xf>
    <xf numFmtId="0" fontId="17" fillId="2" borderId="7" xfId="7" applyFont="1" applyFill="1" applyBorder="1" applyProtection="1">
      <protection locked="0"/>
    </xf>
    <xf numFmtId="168" fontId="17" fillId="2" borderId="7" xfId="0" applyNumberFormat="1" applyFont="1" applyFill="1" applyBorder="1" applyProtection="1">
      <protection locked="0"/>
    </xf>
    <xf numFmtId="0" fontId="17" fillId="0" borderId="2" xfId="7" applyFont="1" applyBorder="1" applyAlignment="1">
      <alignment horizontal="left" indent="1"/>
    </xf>
    <xf numFmtId="164" fontId="17" fillId="2" borderId="7" xfId="1" applyNumberFormat="1" applyFont="1" applyFill="1" applyBorder="1" applyProtection="1">
      <protection locked="0"/>
    </xf>
    <xf numFmtId="0" fontId="17" fillId="0" borderId="3" xfId="7" applyFont="1" applyBorder="1" applyAlignment="1">
      <alignment horizontal="right" indent="1"/>
    </xf>
    <xf numFmtId="164" fontId="17" fillId="2" borderId="7" xfId="0" applyNumberFormat="1" applyFont="1" applyFill="1" applyBorder="1"/>
    <xf numFmtId="0" fontId="17" fillId="0" borderId="4" xfId="0" applyFont="1" applyBorder="1" applyAlignment="1">
      <alignment horizontal="left" indent="1"/>
    </xf>
    <xf numFmtId="0" fontId="14" fillId="0" borderId="6" xfId="0" applyFont="1" applyBorder="1" applyAlignment="1">
      <alignment horizontal="right" indent="1"/>
    </xf>
    <xf numFmtId="9" fontId="14" fillId="2" borderId="7" xfId="2" applyFont="1" applyFill="1" applyBorder="1"/>
    <xf numFmtId="0" fontId="17" fillId="0" borderId="4" xfId="0" applyFont="1" applyBorder="1"/>
    <xf numFmtId="7" fontId="17" fillId="0" borderId="3" xfId="1" applyNumberFormat="1" applyFont="1" applyFill="1" applyBorder="1"/>
    <xf numFmtId="165" fontId="17" fillId="0" borderId="3" xfId="1" applyNumberFormat="1" applyFont="1" applyBorder="1"/>
    <xf numFmtId="0" fontId="17" fillId="0" borderId="5" xfId="0" applyFont="1" applyBorder="1" applyAlignment="1">
      <alignment horizontal="right" indent="1"/>
    </xf>
    <xf numFmtId="7" fontId="17" fillId="0" borderId="6" xfId="0" applyNumberFormat="1" applyFont="1" applyBorder="1"/>
    <xf numFmtId="165" fontId="18" fillId="0" borderId="5" xfId="1" applyNumberFormat="1" applyFont="1" applyFill="1" applyBorder="1"/>
    <xf numFmtId="0" fontId="17" fillId="0" borderId="6" xfId="0" applyFont="1" applyBorder="1"/>
    <xf numFmtId="44" fontId="17" fillId="0" borderId="0" xfId="0" applyNumberFormat="1" applyFont="1"/>
    <xf numFmtId="7" fontId="18" fillId="0" borderId="5" xfId="0" applyNumberFormat="1" applyFont="1" applyBorder="1"/>
    <xf numFmtId="0" fontId="17" fillId="0" borderId="0" xfId="0" applyFont="1" applyAlignment="1">
      <alignment wrapText="1"/>
    </xf>
    <xf numFmtId="165" fontId="17" fillId="0" borderId="3" xfId="0" applyNumberFormat="1" applyFont="1" applyBorder="1"/>
    <xf numFmtId="0" fontId="17" fillId="0" borderId="17" xfId="0" applyFont="1" applyBorder="1" applyAlignment="1">
      <alignment horizontal="left" indent="1"/>
    </xf>
    <xf numFmtId="0" fontId="17" fillId="0" borderId="18" xfId="0" applyFont="1" applyBorder="1" applyAlignment="1">
      <alignment horizontal="right" indent="1"/>
    </xf>
    <xf numFmtId="165" fontId="17" fillId="0" borderId="19" xfId="0" applyNumberFormat="1" applyFont="1" applyBorder="1"/>
    <xf numFmtId="165" fontId="17" fillId="7" borderId="3" xfId="1" applyNumberFormat="1" applyFont="1" applyFill="1" applyBorder="1"/>
    <xf numFmtId="165" fontId="17" fillId="0" borderId="3" xfId="1" quotePrefix="1" applyNumberFormat="1" applyFont="1" applyBorder="1"/>
    <xf numFmtId="0" fontId="18" fillId="0" borderId="4" xfId="0" applyFont="1" applyBorder="1" applyAlignment="1">
      <alignment horizontal="left" indent="1"/>
    </xf>
    <xf numFmtId="7" fontId="18" fillId="0" borderId="5" xfId="0" applyNumberFormat="1" applyFont="1" applyBorder="1" applyAlignment="1">
      <alignment horizontal="right" indent="1"/>
    </xf>
    <xf numFmtId="7" fontId="18" fillId="0" borderId="5" xfId="0" applyNumberFormat="1" applyFont="1" applyBorder="1" applyAlignment="1">
      <alignment horizontal="right"/>
    </xf>
    <xf numFmtId="0" fontId="17" fillId="0" borderId="0" xfId="0" quotePrefix="1" applyFont="1"/>
    <xf numFmtId="165" fontId="17" fillId="0" borderId="3" xfId="1" applyNumberFormat="1" applyFont="1" applyFill="1" applyBorder="1" applyAlignment="1">
      <alignment vertical="center"/>
    </xf>
    <xf numFmtId="165" fontId="17" fillId="0" borderId="3" xfId="1" applyNumberFormat="1" applyFont="1" applyFill="1" applyBorder="1"/>
    <xf numFmtId="165" fontId="18" fillId="0" borderId="6" xfId="1" applyNumberFormat="1" applyFont="1" applyBorder="1"/>
    <xf numFmtId="165" fontId="18" fillId="0" borderId="6" xfId="0" applyNumberFormat="1" applyFont="1" applyBorder="1"/>
    <xf numFmtId="44" fontId="17" fillId="0" borderId="0" xfId="1" applyFont="1" applyBorder="1"/>
    <xf numFmtId="0" fontId="22" fillId="3" borderId="1" xfId="0" applyFont="1" applyFill="1" applyBorder="1" applyAlignment="1">
      <alignment horizontal="left" indent="1"/>
    </xf>
    <xf numFmtId="165" fontId="22" fillId="3" borderId="23" xfId="1" applyNumberFormat="1" applyFont="1" applyFill="1" applyBorder="1"/>
    <xf numFmtId="0" fontId="22" fillId="3" borderId="1" xfId="7" applyFont="1" applyFill="1" applyBorder="1"/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14" fillId="0" borderId="36" xfId="0" applyFont="1" applyBorder="1" applyAlignment="1">
      <alignment horizontal="left" vertical="top" indent="1"/>
    </xf>
    <xf numFmtId="0" fontId="14" fillId="0" borderId="39" xfId="0" applyFont="1" applyBorder="1" applyAlignment="1">
      <alignment horizontal="left" vertical="top" indent="1"/>
    </xf>
    <xf numFmtId="0" fontId="14" fillId="0" borderId="42" xfId="0" applyFont="1" applyBorder="1" applyAlignment="1">
      <alignment horizontal="left" vertical="top" indent="1"/>
    </xf>
    <xf numFmtId="0" fontId="16" fillId="0" borderId="14" xfId="0" applyFont="1" applyBorder="1" applyAlignment="1">
      <alignment horizontal="center" vertical="center"/>
    </xf>
    <xf numFmtId="0" fontId="16" fillId="2" borderId="45" xfId="0" applyFont="1" applyFill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 vertical="center"/>
    </xf>
    <xf numFmtId="0" fontId="14" fillId="0" borderId="26" xfId="0" applyFont="1" applyBorder="1" applyAlignment="1">
      <alignment horizontal="right" vertical="center" indent="1"/>
    </xf>
    <xf numFmtId="0" fontId="16" fillId="2" borderId="13" xfId="0" applyFont="1" applyFill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14" fillId="0" borderId="16" xfId="0" applyFont="1" applyBorder="1" applyAlignment="1">
      <alignment horizontal="left" vertical="center" wrapText="1" indent="1"/>
    </xf>
    <xf numFmtId="0" fontId="14" fillId="0" borderId="8" xfId="0" applyFont="1" applyBorder="1" applyAlignment="1">
      <alignment horizontal="right" vertical="center" indent="1"/>
    </xf>
    <xf numFmtId="0" fontId="14" fillId="2" borderId="7" xfId="0" applyFont="1" applyFill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14" fillId="0" borderId="9" xfId="0" applyFont="1" applyBorder="1" applyAlignment="1">
      <alignment horizontal="left" vertical="center" indent="1"/>
    </xf>
    <xf numFmtId="0" fontId="14" fillId="0" borderId="9" xfId="0" applyFont="1" applyBorder="1" applyAlignment="1">
      <alignment horizontal="left" vertical="center" wrapText="1" indent="1"/>
    </xf>
    <xf numFmtId="0" fontId="14" fillId="0" borderId="10" xfId="0" applyFont="1" applyBorder="1" applyAlignment="1">
      <alignment horizontal="right" vertical="center" indent="1"/>
    </xf>
    <xf numFmtId="0" fontId="14" fillId="2" borderId="11" xfId="0" applyFont="1" applyFill="1" applyBorder="1" applyAlignment="1">
      <alignment horizontal="center" vertical="center"/>
    </xf>
    <xf numFmtId="0" fontId="25" fillId="0" borderId="11" xfId="0" applyFont="1" applyBorder="1" applyAlignment="1">
      <alignment horizontal="center" vertical="center"/>
    </xf>
    <xf numFmtId="0" fontId="14" fillId="0" borderId="12" xfId="0" applyFont="1" applyBorder="1" applyAlignment="1">
      <alignment horizontal="left" vertical="center" indent="1"/>
    </xf>
    <xf numFmtId="0" fontId="26" fillId="0" borderId="12" xfId="0" applyFont="1" applyBorder="1" applyAlignment="1">
      <alignment horizontal="left" vertical="center" indent="1"/>
    </xf>
    <xf numFmtId="0" fontId="27" fillId="0" borderId="12" xfId="0" applyFont="1" applyBorder="1" applyAlignment="1">
      <alignment horizontal="left" vertical="center" indent="1"/>
    </xf>
    <xf numFmtId="0" fontId="14" fillId="0" borderId="47" xfId="0" applyFont="1" applyBorder="1" applyAlignment="1">
      <alignment vertical="top"/>
    </xf>
    <xf numFmtId="0" fontId="14" fillId="0" borderId="28" xfId="0" applyFont="1" applyBorder="1" applyAlignment="1">
      <alignment vertical="center"/>
    </xf>
    <xf numFmtId="0" fontId="14" fillId="0" borderId="0" xfId="0" applyFont="1" applyAlignment="1" applyProtection="1">
      <alignment horizontal="center" vertical="center"/>
      <protection locked="0"/>
    </xf>
    <xf numFmtId="0" fontId="25" fillId="0" borderId="0" xfId="0" applyFont="1" applyAlignment="1">
      <alignment horizontal="center" vertical="center"/>
    </xf>
    <xf numFmtId="0" fontId="14" fillId="0" borderId="29" xfId="0" applyFont="1" applyBorder="1" applyAlignment="1">
      <alignment vertical="center" wrapText="1"/>
    </xf>
    <xf numFmtId="0" fontId="14" fillId="0" borderId="26" xfId="0" applyFont="1" applyBorder="1" applyAlignment="1">
      <alignment horizontal="left" vertical="center" wrapText="1" indent="1"/>
    </xf>
    <xf numFmtId="164" fontId="14" fillId="0" borderId="13" xfId="1" applyNumberFormat="1" applyFont="1" applyBorder="1" applyAlignment="1">
      <alignment horizontal="center" vertical="center"/>
    </xf>
    <xf numFmtId="0" fontId="14" fillId="0" borderId="13" xfId="0" applyFont="1" applyBorder="1" applyAlignment="1">
      <alignment horizontal="left" vertical="center" indent="1"/>
    </xf>
    <xf numFmtId="0" fontId="14" fillId="0" borderId="16" xfId="0" applyFont="1" applyBorder="1" applyAlignment="1">
      <alignment vertical="top"/>
    </xf>
    <xf numFmtId="0" fontId="14" fillId="0" borderId="8" xfId="0" applyFont="1" applyBorder="1" applyAlignment="1">
      <alignment horizontal="left" vertical="center" wrapText="1" indent="1"/>
    </xf>
    <xf numFmtId="164" fontId="14" fillId="0" borderId="7" xfId="1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left" vertical="center" indent="1"/>
    </xf>
    <xf numFmtId="0" fontId="14" fillId="0" borderId="9" xfId="0" applyFont="1" applyBorder="1" applyAlignment="1">
      <alignment vertical="top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left" vertical="center" indent="1"/>
    </xf>
    <xf numFmtId="0" fontId="14" fillId="0" borderId="10" xfId="0" applyFont="1" applyBorder="1" applyAlignment="1">
      <alignment horizontal="left" vertical="center" indent="1"/>
    </xf>
    <xf numFmtId="164" fontId="14" fillId="0" borderId="11" xfId="1" applyNumberFormat="1" applyFont="1" applyBorder="1" applyAlignment="1">
      <alignment horizontal="center"/>
    </xf>
    <xf numFmtId="0" fontId="14" fillId="0" borderId="11" xfId="0" applyFont="1" applyBorder="1" applyAlignment="1">
      <alignment horizontal="left" indent="1"/>
    </xf>
    <xf numFmtId="0" fontId="14" fillId="0" borderId="12" xfId="0" applyFont="1" applyBorder="1" applyAlignment="1">
      <alignment vertical="top"/>
    </xf>
    <xf numFmtId="0" fontId="14" fillId="0" borderId="1" xfId="0" applyFont="1" applyBorder="1" applyAlignment="1">
      <alignment horizontal="right" vertical="center" indent="1"/>
    </xf>
    <xf numFmtId="165" fontId="14" fillId="0" borderId="48" xfId="1" applyNumberFormat="1" applyFont="1" applyBorder="1" applyAlignment="1">
      <alignment horizontal="center"/>
    </xf>
    <xf numFmtId="0" fontId="14" fillId="0" borderId="0" xfId="0" applyFont="1" applyAlignment="1">
      <alignment horizontal="left" indent="1"/>
    </xf>
    <xf numFmtId="0" fontId="28" fillId="5" borderId="35" xfId="0" applyFont="1" applyFill="1" applyBorder="1" applyAlignment="1">
      <alignment horizontal="right" vertical="top" indent="1"/>
    </xf>
    <xf numFmtId="164" fontId="28" fillId="5" borderId="34" xfId="0" applyNumberFormat="1" applyFont="1" applyFill="1" applyBorder="1" applyAlignment="1">
      <alignment horizontal="center" vertical="top"/>
    </xf>
    <xf numFmtId="0" fontId="27" fillId="0" borderId="0" xfId="0" applyFont="1" applyAlignment="1">
      <alignment vertical="center"/>
    </xf>
    <xf numFmtId="0" fontId="14" fillId="0" borderId="0" xfId="0" applyFont="1" applyAlignment="1">
      <alignment horizontal="left" vertical="top" indent="1"/>
    </xf>
    <xf numFmtId="0" fontId="14" fillId="0" borderId="26" xfId="0" applyFont="1" applyBorder="1" applyAlignment="1">
      <alignment horizontal="left" vertical="center" indent="1"/>
    </xf>
    <xf numFmtId="0" fontId="14" fillId="0" borderId="32" xfId="0" applyFont="1" applyBorder="1" applyAlignment="1">
      <alignment horizontal="left" vertical="center" indent="1"/>
    </xf>
    <xf numFmtId="0" fontId="14" fillId="0" borderId="20" xfId="0" applyFont="1" applyBorder="1" applyAlignment="1">
      <alignment horizontal="left" vertical="center" indent="1"/>
    </xf>
    <xf numFmtId="0" fontId="14" fillId="0" borderId="27" xfId="0" applyFont="1" applyBorder="1" applyAlignment="1">
      <alignment horizontal="left" vertical="center" indent="1"/>
    </xf>
    <xf numFmtId="0" fontId="14" fillId="0" borderId="7" xfId="8" applyNumberFormat="1" applyFont="1" applyBorder="1" applyAlignment="1">
      <alignment horizontal="center" vertical="center"/>
    </xf>
    <xf numFmtId="164" fontId="14" fillId="0" borderId="11" xfId="0" applyNumberFormat="1" applyFont="1" applyBorder="1" applyAlignment="1">
      <alignment horizontal="center" vertical="center"/>
    </xf>
    <xf numFmtId="0" fontId="14" fillId="0" borderId="33" xfId="0" applyFont="1" applyBorder="1" applyAlignment="1">
      <alignment horizontal="left" vertical="center" indent="1"/>
    </xf>
    <xf numFmtId="165" fontId="14" fillId="0" borderId="48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 vertical="center" indent="1"/>
    </xf>
    <xf numFmtId="0" fontId="28" fillId="5" borderId="35" xfId="0" applyFont="1" applyFill="1" applyBorder="1" applyAlignment="1">
      <alignment horizontal="right" vertical="center" indent="1"/>
    </xf>
    <xf numFmtId="164" fontId="28" fillId="5" borderId="31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28" fillId="0" borderId="1" xfId="0" applyFont="1" applyBorder="1" applyAlignment="1">
      <alignment horizontal="left" vertical="center" indent="1"/>
    </xf>
    <xf numFmtId="164" fontId="28" fillId="0" borderId="3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top" indent="1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0" fontId="14" fillId="8" borderId="0" xfId="0" applyFont="1" applyFill="1" applyAlignment="1">
      <alignment horizontal="right" vertical="top"/>
    </xf>
    <xf numFmtId="3" fontId="12" fillId="6" borderId="51" xfId="15" applyNumberFormat="1" applyFont="1" applyFill="1" applyBorder="1" applyAlignment="1">
      <alignment wrapText="1"/>
    </xf>
    <xf numFmtId="3" fontId="12" fillId="6" borderId="52" xfId="15" applyNumberFormat="1" applyFont="1" applyFill="1" applyBorder="1" applyAlignment="1">
      <alignment wrapText="1"/>
    </xf>
    <xf numFmtId="0" fontId="14" fillId="9" borderId="0" xfId="0" applyFont="1" applyFill="1"/>
    <xf numFmtId="4" fontId="14" fillId="2" borderId="11" xfId="0" applyNumberFormat="1" applyFont="1" applyFill="1" applyBorder="1" applyAlignment="1">
      <alignment horizontal="center" vertical="center"/>
    </xf>
    <xf numFmtId="0" fontId="5" fillId="9" borderId="24" xfId="11" applyFont="1" applyFill="1" applyBorder="1" applyAlignment="1">
      <alignment horizontal="right" wrapText="1"/>
    </xf>
    <xf numFmtId="0" fontId="5" fillId="9" borderId="24" xfId="11" applyFont="1" applyFill="1" applyBorder="1" applyAlignment="1">
      <alignment wrapText="1"/>
    </xf>
    <xf numFmtId="0" fontId="5" fillId="9" borderId="49" xfId="11" applyFont="1" applyFill="1" applyBorder="1" applyAlignment="1">
      <alignment wrapText="1"/>
    </xf>
    <xf numFmtId="0" fontId="12" fillId="9" borderId="0" xfId="14" applyFont="1" applyFill="1"/>
    <xf numFmtId="0" fontId="5" fillId="0" borderId="53" xfId="14" applyFont="1" applyBorder="1" applyAlignment="1">
      <alignment horizontal="right" wrapText="1"/>
    </xf>
    <xf numFmtId="0" fontId="5" fillId="9" borderId="53" xfId="14" applyFont="1" applyFill="1" applyBorder="1" applyAlignment="1">
      <alignment horizontal="right" wrapText="1"/>
    </xf>
    <xf numFmtId="3" fontId="12" fillId="6" borderId="55" xfId="15" applyNumberFormat="1" applyFont="1" applyFill="1" applyBorder="1" applyAlignment="1">
      <alignment wrapText="1"/>
    </xf>
    <xf numFmtId="3" fontId="12" fillId="6" borderId="56" xfId="15" applyNumberFormat="1" applyFont="1" applyFill="1" applyBorder="1" applyAlignment="1">
      <alignment wrapText="1"/>
    </xf>
    <xf numFmtId="3" fontId="12" fillId="6" borderId="57" xfId="15" applyNumberFormat="1" applyFont="1" applyFill="1" applyBorder="1" applyAlignment="1">
      <alignment wrapText="1"/>
    </xf>
    <xf numFmtId="3" fontId="12" fillId="6" borderId="54" xfId="15" applyNumberFormat="1" applyFont="1" applyFill="1" applyBorder="1" applyAlignment="1">
      <alignment wrapText="1"/>
    </xf>
    <xf numFmtId="0" fontId="5" fillId="0" borderId="49" xfId="12" applyFont="1" applyBorder="1" applyAlignment="1">
      <alignment wrapText="1"/>
    </xf>
    <xf numFmtId="0" fontId="5" fillId="0" borderId="53" xfId="13" applyFont="1" applyBorder="1" applyAlignment="1">
      <alignment horizontal="right" wrapText="1"/>
    </xf>
    <xf numFmtId="0" fontId="5" fillId="4" borderId="50" xfId="12" applyFont="1" applyFill="1" applyBorder="1" applyAlignment="1">
      <alignment horizontal="center"/>
    </xf>
    <xf numFmtId="0" fontId="14" fillId="6" borderId="54" xfId="0" applyFont="1" applyFill="1" applyBorder="1"/>
    <xf numFmtId="0" fontId="14" fillId="6" borderId="55" xfId="0" applyFont="1" applyFill="1" applyBorder="1"/>
    <xf numFmtId="0" fontId="14" fillId="6" borderId="51" xfId="0" applyFont="1" applyFill="1" applyBorder="1"/>
    <xf numFmtId="0" fontId="14" fillId="6" borderId="56" xfId="0" applyFont="1" applyFill="1" applyBorder="1"/>
    <xf numFmtId="0" fontId="14" fillId="6" borderId="52" xfId="0" applyFont="1" applyFill="1" applyBorder="1"/>
    <xf numFmtId="0" fontId="14" fillId="6" borderId="57" xfId="0" applyFont="1" applyFill="1" applyBorder="1"/>
    <xf numFmtId="3" fontId="14" fillId="6" borderId="51" xfId="15" applyNumberFormat="1" applyFont="1" applyFill="1" applyBorder="1" applyAlignment="1">
      <alignment wrapText="1"/>
    </xf>
    <xf numFmtId="3" fontId="14" fillId="6" borderId="56" xfId="15" applyNumberFormat="1" applyFont="1" applyFill="1" applyBorder="1" applyAlignment="1">
      <alignment wrapText="1"/>
    </xf>
    <xf numFmtId="0" fontId="12" fillId="4" borderId="50" xfId="9" applyFont="1" applyFill="1" applyBorder="1" applyAlignment="1">
      <alignment horizontal="center"/>
    </xf>
    <xf numFmtId="0" fontId="12" fillId="4" borderId="50" xfId="10" applyFont="1" applyFill="1" applyBorder="1" applyAlignment="1">
      <alignment horizontal="center"/>
    </xf>
    <xf numFmtId="0" fontId="30" fillId="0" borderId="22" xfId="0" applyFont="1" applyBorder="1" applyAlignment="1">
      <alignment horizontal="center" vertical="center" wrapText="1"/>
    </xf>
    <xf numFmtId="165" fontId="30" fillId="0" borderId="7" xfId="0" applyNumberFormat="1" applyFont="1" applyBorder="1" applyAlignment="1">
      <alignment horizontal="center" vertical="center" wrapText="1"/>
    </xf>
    <xf numFmtId="164" fontId="30" fillId="0" borderId="7" xfId="1" applyNumberFormat="1" applyFont="1" applyBorder="1"/>
    <xf numFmtId="165" fontId="30" fillId="9" borderId="7" xfId="0" applyNumberFormat="1" applyFont="1" applyFill="1" applyBorder="1" applyAlignment="1">
      <alignment horizontal="center" vertical="center" wrapText="1"/>
    </xf>
    <xf numFmtId="164" fontId="30" fillId="9" borderId="7" xfId="1" applyNumberFormat="1" applyFont="1" applyFill="1" applyBorder="1"/>
    <xf numFmtId="0" fontId="30" fillId="0" borderId="7" xfId="0" applyFont="1" applyBorder="1" applyAlignment="1">
      <alignment horizontal="center" vertical="center" wrapText="1"/>
    </xf>
    <xf numFmtId="164" fontId="30" fillId="0" borderId="58" xfId="1" applyNumberFormat="1" applyFont="1" applyBorder="1"/>
    <xf numFmtId="0" fontId="16" fillId="0" borderId="14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19" fillId="8" borderId="0" xfId="0" applyFont="1" applyFill="1" applyAlignment="1">
      <alignment horizontal="center" vertical="top"/>
    </xf>
    <xf numFmtId="0" fontId="24" fillId="0" borderId="0" xfId="0" applyFont="1" applyAlignment="1">
      <alignment horizontal="center" vertical="top"/>
    </xf>
    <xf numFmtId="0" fontId="14" fillId="0" borderId="0" xfId="0" applyFont="1" applyAlignment="1">
      <alignment horizontal="center" vertical="top"/>
    </xf>
    <xf numFmtId="0" fontId="14" fillId="0" borderId="37" xfId="0" applyFont="1" applyBorder="1" applyAlignment="1">
      <alignment horizontal="center" vertical="top"/>
    </xf>
    <xf numFmtId="0" fontId="14" fillId="0" borderId="37" xfId="0" applyFont="1" applyBorder="1" applyAlignment="1">
      <alignment vertical="top"/>
    </xf>
    <xf numFmtId="0" fontId="14" fillId="0" borderId="38" xfId="0" applyFont="1" applyBorder="1" applyAlignment="1">
      <alignment vertical="top"/>
    </xf>
    <xf numFmtId="0" fontId="14" fillId="0" borderId="40" xfId="0" applyFont="1" applyBorder="1" applyAlignment="1">
      <alignment horizontal="center" vertical="top"/>
    </xf>
    <xf numFmtId="0" fontId="14" fillId="0" borderId="40" xfId="0" applyFont="1" applyBorder="1" applyAlignment="1">
      <alignment vertical="top"/>
    </xf>
    <xf numFmtId="0" fontId="14" fillId="0" borderId="41" xfId="0" applyFont="1" applyBorder="1" applyAlignment="1">
      <alignment vertical="top"/>
    </xf>
    <xf numFmtId="0" fontId="14" fillId="0" borderId="43" xfId="0" applyFont="1" applyBorder="1" applyAlignment="1">
      <alignment horizontal="center" vertical="top"/>
    </xf>
    <xf numFmtId="0" fontId="14" fillId="0" borderId="43" xfId="0" applyFont="1" applyBorder="1" applyAlignment="1">
      <alignment vertical="top"/>
    </xf>
    <xf numFmtId="0" fontId="14" fillId="0" borderId="44" xfId="0" applyFont="1" applyBorder="1" applyAlignment="1">
      <alignment vertical="top"/>
    </xf>
    <xf numFmtId="0" fontId="17" fillId="0" borderId="2" xfId="7" applyFont="1" applyBorder="1" applyAlignment="1">
      <alignment horizontal="left"/>
    </xf>
    <xf numFmtId="0" fontId="17" fillId="0" borderId="0" xfId="7" applyFont="1" applyAlignment="1">
      <alignment horizontal="left"/>
    </xf>
    <xf numFmtId="0" fontId="17" fillId="0" borderId="2" xfId="0" applyFont="1" applyBorder="1" applyAlignment="1">
      <alignment horizontal="left"/>
    </xf>
    <xf numFmtId="0" fontId="17" fillId="0" borderId="0" xfId="0" applyFont="1" applyAlignment="1">
      <alignment horizontal="left"/>
    </xf>
    <xf numFmtId="0" fontId="22" fillId="3" borderId="22" xfId="0" applyFont="1" applyFill="1" applyBorder="1" applyAlignment="1">
      <alignment horizontal="center"/>
    </xf>
    <xf numFmtId="0" fontId="22" fillId="3" borderId="21" xfId="0" applyFont="1" applyFill="1" applyBorder="1" applyAlignment="1">
      <alignment horizontal="center"/>
    </xf>
    <xf numFmtId="0" fontId="22" fillId="3" borderId="20" xfId="0" applyFont="1" applyFill="1" applyBorder="1" applyAlignment="1">
      <alignment horizontal="center"/>
    </xf>
    <xf numFmtId="0" fontId="22" fillId="3" borderId="22" xfId="0" applyFont="1" applyFill="1" applyBorder="1" applyAlignment="1">
      <alignment horizontal="center" vertical="center"/>
    </xf>
    <xf numFmtId="0" fontId="23" fillId="0" borderId="21" xfId="0" applyFont="1" applyBorder="1" applyAlignment="1">
      <alignment horizontal="center"/>
    </xf>
    <xf numFmtId="0" fontId="23" fillId="0" borderId="20" xfId="0" applyFont="1" applyBorder="1" applyAlignment="1">
      <alignment horizontal="center"/>
    </xf>
    <xf numFmtId="0" fontId="16" fillId="3" borderId="21" xfId="0" applyFont="1" applyFill="1" applyBorder="1" applyAlignment="1">
      <alignment horizontal="center"/>
    </xf>
    <xf numFmtId="0" fontId="16" fillId="3" borderId="20" xfId="0" applyFont="1" applyFill="1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left"/>
    </xf>
  </cellXfs>
  <cellStyles count="16">
    <cellStyle name="Comma" xfId="8" builtinId="3"/>
    <cellStyle name="Currency" xfId="1" builtinId="4"/>
    <cellStyle name="Currency 2" xfId="5" xr:uid="{00000000-0005-0000-0000-000002000000}"/>
    <cellStyle name="Normal" xfId="0" builtinId="0"/>
    <cellStyle name="Normal 2" xfId="3" xr:uid="{00000000-0005-0000-0000-000004000000}"/>
    <cellStyle name="Normal 3" xfId="7" xr:uid="{00000000-0005-0000-0000-000005000000}"/>
    <cellStyle name="Normal 4" xfId="4" xr:uid="{00000000-0005-0000-0000-000006000000}"/>
    <cellStyle name="Normal_HT_Proxy" xfId="14" xr:uid="{00000000-0005-0000-0000-000007000000}"/>
    <cellStyle name="Normal_HT_Proxy_1" xfId="11" xr:uid="{00000000-0005-0000-0000-000008000000}"/>
    <cellStyle name="Normal_HT_Proxy_2" xfId="15" xr:uid="{1D787662-BDB8-4B5D-A784-63BC3E7D2F51}"/>
    <cellStyle name="Normal_PB_Proxy" xfId="13" xr:uid="{00000000-0005-0000-0000-000009000000}"/>
    <cellStyle name="Normal_PB_Proxy_1" xfId="12" xr:uid="{00000000-0005-0000-0000-00000A000000}"/>
    <cellStyle name="Normal_SMI_Lookup" xfId="9" xr:uid="{00000000-0005-0000-0000-00000B000000}"/>
    <cellStyle name="Normal_SMI_Lookup_1" xfId="10" xr:uid="{00000000-0005-0000-0000-00000C000000}"/>
    <cellStyle name="Percent" xfId="2" builtinId="5"/>
    <cellStyle name="Percent 2" xfId="6" xr:uid="{00000000-0005-0000-0000-00000E000000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Blank, Jane M - DOA" id="{897AE142-2758-4F44-9222-53049DC01B2D}" userId="S::Jane.Blank@wisconsin.gov::9a3bb7bd-e329-4f11-83f1-881a051e4e55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3" dT="2024-10-10T12:51:05.78" personId="{897AE142-2758-4F44-9222-53049DC01B2D}" id="{1E475A46-8A08-4BE6-96D3-6E4AFF42EA8B}">
    <text>m = “Addl Proxy Amount”</text>
  </threadedComment>
  <threadedComment ref="F3" dT="2024-10-10T12:51:24.78" personId="{897AE142-2758-4F44-9222-53049DC01B2D}" id="{83C03701-D7F3-4757-9D57-FDABD8EAE8C6}">
    <text>b = “Base Proxy Amount”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3" dT="2024-10-10T12:52:02.31" personId="{897AE142-2758-4F44-9222-53049DC01B2D}" id="{D2A24B18-E3C5-4D22-94DB-44ABE0CB2303}">
    <text>m = “Addl Proxy Amount”</text>
  </threadedComment>
  <threadedComment ref="D3" dT="2024-10-10T12:52:16.70" personId="{897AE142-2758-4F44-9222-53049DC01B2D}" id="{149CB235-241B-4CE4-B31B-94D5C97FE30E}">
    <text>b = “Base Proxy Amount”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D45"/>
  <sheetViews>
    <sheetView tabSelected="1" zoomScaleNormal="100" workbookViewId="0">
      <selection sqref="A1:D1"/>
    </sheetView>
  </sheetViews>
  <sheetFormatPr defaultColWidth="9.1796875" defaultRowHeight="13" x14ac:dyDescent="0.25"/>
  <cols>
    <col min="1" max="1" width="55.54296875" style="76" customWidth="1"/>
    <col min="2" max="2" width="13.26953125" style="77" bestFit="1" customWidth="1"/>
    <col min="3" max="3" width="20" style="76" bestFit="1" customWidth="1"/>
    <col min="4" max="4" width="62.1796875" style="76" customWidth="1"/>
    <col min="5" max="5" width="8.7265625" style="76" customWidth="1"/>
    <col min="6" max="16384" width="9.1796875" style="76"/>
  </cols>
  <sheetData>
    <row r="1" spans="1:4" ht="21" x14ac:dyDescent="0.25">
      <c r="A1" s="181" t="s">
        <v>213</v>
      </c>
      <c r="B1" s="181"/>
      <c r="C1" s="181"/>
      <c r="D1" s="181"/>
    </row>
    <row r="2" spans="1:4" ht="15" customHeight="1" x14ac:dyDescent="0.25">
      <c r="A2" s="140" t="s">
        <v>16</v>
      </c>
      <c r="B2" s="141"/>
      <c r="C2" s="142"/>
      <c r="D2" s="142"/>
    </row>
    <row r="3" spans="1:4" ht="15.5" x14ac:dyDescent="0.25">
      <c r="A3" s="140" t="s">
        <v>63</v>
      </c>
      <c r="B3" s="141"/>
      <c r="C3" s="142"/>
      <c r="D3" s="142"/>
    </row>
    <row r="4" spans="1:4" x14ac:dyDescent="0.25">
      <c r="D4" s="143" t="s">
        <v>193</v>
      </c>
    </row>
    <row r="5" spans="1:4" x14ac:dyDescent="0.25">
      <c r="A5" s="78" t="s">
        <v>65</v>
      </c>
      <c r="B5" s="184"/>
      <c r="C5" s="185"/>
      <c r="D5" s="186"/>
    </row>
    <row r="6" spans="1:4" x14ac:dyDescent="0.25">
      <c r="A6" s="79" t="s">
        <v>66</v>
      </c>
      <c r="B6" s="187"/>
      <c r="C6" s="188"/>
      <c r="D6" s="189"/>
    </row>
    <row r="7" spans="1:4" x14ac:dyDescent="0.25">
      <c r="A7" s="79" t="s">
        <v>67</v>
      </c>
      <c r="B7" s="187"/>
      <c r="C7" s="188"/>
      <c r="D7" s="189"/>
    </row>
    <row r="8" spans="1:4" x14ac:dyDescent="0.25">
      <c r="A8" s="80" t="s">
        <v>68</v>
      </c>
      <c r="B8" s="190"/>
      <c r="C8" s="191"/>
      <c r="D8" s="192"/>
    </row>
    <row r="9" spans="1:4" ht="15" thickBot="1" x14ac:dyDescent="0.3">
      <c r="A9" s="182" t="s">
        <v>151</v>
      </c>
      <c r="B9" s="183"/>
      <c r="C9" s="183"/>
      <c r="D9" s="183"/>
    </row>
    <row r="10" spans="1:4" ht="16.5" customHeight="1" thickBot="1" x14ac:dyDescent="0.3">
      <c r="A10" s="81" t="s">
        <v>17</v>
      </c>
      <c r="B10" s="82" t="s">
        <v>6</v>
      </c>
      <c r="C10" s="83" t="s">
        <v>0</v>
      </c>
      <c r="D10" s="84" t="s">
        <v>15</v>
      </c>
    </row>
    <row r="11" spans="1:4" ht="26" x14ac:dyDescent="0.25">
      <c r="A11" s="85" t="s">
        <v>59</v>
      </c>
      <c r="B11" s="86"/>
      <c r="C11" s="87" t="str">
        <f>IF(ISBLANK(B11),"Need data",IF(B11&lt;&gt;"a",IF(B11&lt;&gt;"d",IF(B11&lt;&gt;"m",IF(B11&lt;&gt;"r",IF(B11&lt;&gt;"s","Error!",""),""),""),""),""))</f>
        <v>Need data</v>
      </c>
      <c r="D11" s="88" t="s">
        <v>203</v>
      </c>
    </row>
    <row r="12" spans="1:4" ht="27.75" customHeight="1" x14ac:dyDescent="0.25">
      <c r="A12" s="89" t="s">
        <v>60</v>
      </c>
      <c r="B12" s="90"/>
      <c r="C12" s="91" t="str">
        <f>IF(ISBLANK(B12),"Need data",IF(B12&gt;0,IF(ABS(B12-ROUND(B12,0))&lt;0.00001,IF(B12&lt;10,"","9 used for HEAT proxy"),"Error!"),"Error!"))</f>
        <v>Need data</v>
      </c>
      <c r="D12" s="92" t="s">
        <v>46</v>
      </c>
    </row>
    <row r="13" spans="1:4" ht="25.5" customHeight="1" x14ac:dyDescent="0.25">
      <c r="A13" s="89" t="s">
        <v>55</v>
      </c>
      <c r="B13" s="90"/>
      <c r="C13" s="91" t="str">
        <f>IF(ISBLANK(B13),"Need data",IF(B13&gt;0,IF(ABS(B13-ROUND(B13,0))&lt;0.00001,IF(B13&lt;10,"","9 used for PB proxy"),"Error!"),"Error!"))</f>
        <v>Need data</v>
      </c>
      <c r="D13" s="92" t="s">
        <v>56</v>
      </c>
    </row>
    <row r="14" spans="1:4" ht="27" customHeight="1" x14ac:dyDescent="0.25">
      <c r="A14" s="89" t="s">
        <v>61</v>
      </c>
      <c r="B14" s="90"/>
      <c r="C14" s="91" t="str">
        <f>IF(ISBLANK(B14),"Need data",IF(B14&lt;&gt;"y",IF(B14&lt;&gt;"n","Error!",""),""))</f>
        <v>Need data</v>
      </c>
      <c r="D14" s="93" t="s">
        <v>204</v>
      </c>
    </row>
    <row r="15" spans="1:4" ht="26.25" customHeight="1" thickBot="1" x14ac:dyDescent="0.3">
      <c r="A15" s="94" t="s">
        <v>210</v>
      </c>
      <c r="B15" s="147"/>
      <c r="C15" s="96" t="str">
        <f>IF(ISBLANK(B15),"Need data",IF(B15&lt;0,"Error!",IF(B15&gt;15000,"Are you sure?","")))</f>
        <v>Need data</v>
      </c>
      <c r="D15" s="97" t="s">
        <v>44</v>
      </c>
    </row>
    <row r="16" spans="1:4" ht="27.75" customHeight="1" x14ac:dyDescent="0.25">
      <c r="A16" s="85" t="s">
        <v>57</v>
      </c>
      <c r="B16" s="86"/>
      <c r="C16" s="87" t="str">
        <f>IF(ISBLANK(B16),"Need data",IF(B16&lt;&gt;"co",IF(B16&lt;&gt;"el",IF(B16&lt;&gt;"fu",IF(B16&lt;&gt;"na",IF(B16&lt;&gt;"pr",IF(B16&lt;&gt;"ot",IF(B16&lt;&gt;"wo","Error!",""),""),""),""),""),""),""))</f>
        <v>Need data</v>
      </c>
      <c r="D16" s="88" t="s">
        <v>205</v>
      </c>
    </row>
    <row r="17" spans="1:4" ht="27.75" customHeight="1" x14ac:dyDescent="0.25">
      <c r="A17" s="89" t="s">
        <v>194</v>
      </c>
      <c r="B17" s="90"/>
      <c r="C17" s="91" t="str">
        <f>IF(HT_Fuel_Type="el","Provide Fuel Use",IF(El_Usage &lt;&gt;"el","Clear Usage",""))</f>
        <v>Clear Usage</v>
      </c>
      <c r="D17" s="92" t="s">
        <v>206</v>
      </c>
    </row>
    <row r="18" spans="1:4" ht="27.75" customHeight="1" x14ac:dyDescent="0.25">
      <c r="A18" s="89" t="s">
        <v>196</v>
      </c>
      <c r="B18" s="90"/>
      <c r="C18" s="91"/>
      <c r="D18" s="92" t="s">
        <v>204</v>
      </c>
    </row>
    <row r="19" spans="1:4" ht="21.75" customHeight="1" thickBot="1" x14ac:dyDescent="0.3">
      <c r="A19" s="94" t="s">
        <v>58</v>
      </c>
      <c r="B19" s="147"/>
      <c r="C19" s="96" t="str">
        <f>IF(B19&lt;0,"Error!",IF(B19&gt;5000,"Are you sure?",""))</f>
        <v/>
      </c>
      <c r="D19" s="98" t="s">
        <v>43</v>
      </c>
    </row>
    <row r="20" spans="1:4" ht="26.25" customHeight="1" x14ac:dyDescent="0.25">
      <c r="A20" s="85" t="s">
        <v>211</v>
      </c>
      <c r="B20" s="86"/>
      <c r="C20" s="87" t="str">
        <f>IF(ISBLANK(B20),"Need data",IF(B20&lt;&gt;"y",IF(B20&lt;&gt;"n","Error!","No PB Payment"),""))</f>
        <v>Need data</v>
      </c>
      <c r="D20" s="88" t="s">
        <v>204</v>
      </c>
    </row>
    <row r="21" spans="1:4" ht="26.25" customHeight="1" x14ac:dyDescent="0.25">
      <c r="A21" s="89" t="s">
        <v>195</v>
      </c>
      <c r="B21" s="90"/>
      <c r="C21" s="91"/>
      <c r="D21" s="92" t="s">
        <v>204</v>
      </c>
    </row>
    <row r="22" spans="1:4" ht="21.75" customHeight="1" thickBot="1" x14ac:dyDescent="0.3">
      <c r="A22" s="94" t="s">
        <v>62</v>
      </c>
      <c r="B22" s="95"/>
      <c r="C22" s="96" t="str">
        <f>IF(B22&lt;0,"Error!",IF(B22&gt;5000,"Are you sure?",""))</f>
        <v/>
      </c>
      <c r="D22" s="99" t="s">
        <v>189</v>
      </c>
    </row>
    <row r="23" spans="1:4" ht="13.5" thickBot="1" x14ac:dyDescent="0.3">
      <c r="A23" s="100"/>
      <c r="B23" s="100"/>
      <c r="C23" s="100"/>
    </row>
    <row r="24" spans="1:4" ht="17.25" customHeight="1" thickBot="1" x14ac:dyDescent="0.3">
      <c r="A24" s="101"/>
      <c r="B24" s="102"/>
      <c r="C24" s="103"/>
      <c r="D24" s="104"/>
    </row>
    <row r="25" spans="1:4" ht="15.75" customHeight="1" thickBot="1" x14ac:dyDescent="0.3">
      <c r="A25" s="178" t="s">
        <v>157</v>
      </c>
      <c r="B25" s="179"/>
      <c r="C25" s="179"/>
      <c r="D25" s="180"/>
    </row>
    <row r="26" spans="1:4" x14ac:dyDescent="0.25">
      <c r="A26" s="105" t="str">
        <f>IF($B$16="na","Gas Init",IF($B$16="el","Elec Init",IF($B$16="fu","Oil Init",IF($B$16="pr","LP Init",IF($B$16="wo","Wood-Other Init","#Error")))))</f>
        <v>#Error</v>
      </c>
      <c r="B26" s="106" t="e">
        <f t="array" ref="B26">INDEX(HT_Proxy!A4:F28,MATCH($B$28&amp;$B$29,HT_Proxy!A4:A28&amp;HT_Proxy!B4:B28,0),6)</f>
        <v>#N/A</v>
      </c>
      <c r="C26" s="107" t="s">
        <v>41</v>
      </c>
      <c r="D26" s="108"/>
    </row>
    <row r="27" spans="1:4" x14ac:dyDescent="0.25">
      <c r="A27" s="109" t="str">
        <f>IF($B$16="na","Gas Incr",IF($B$16="el","Elec Incr",IF($B$16="fu","Oil Incr",IF($B$16="pr","LP Incr",IF($B$16="wo","Wood-Other Incr","#Error")))))</f>
        <v>#Error</v>
      </c>
      <c r="B27" s="110" t="e">
        <f t="array" ref="B27">INDEX(HT_Proxy!A4:F28,MATCH($B$28&amp;$B$29,HT_Proxy!A4:A28&amp;HT_Proxy!B4:B28,0),5) * (IF(B_Num_Rooms &gt; 9, 9, B_Num_Rooms))</f>
        <v>#N/A</v>
      </c>
      <c r="C27" s="111" t="s">
        <v>40</v>
      </c>
      <c r="D27" s="112"/>
    </row>
    <row r="28" spans="1:4" x14ac:dyDescent="0.25">
      <c r="A28" s="109" t="s">
        <v>36</v>
      </c>
      <c r="B28" s="113" t="str">
        <f>IF($B$16="el",4,IF($B$16="fu",1,IF($B$16="na",2,IF($B$16="pr",3,IF($B$16="wo",5,"#Error")))))</f>
        <v>#Error</v>
      </c>
      <c r="C28" s="111" t="s">
        <v>38</v>
      </c>
      <c r="D28" s="112"/>
    </row>
    <row r="29" spans="1:4" x14ac:dyDescent="0.25">
      <c r="A29" s="114" t="s">
        <v>12</v>
      </c>
      <c r="B29" s="113" t="str">
        <f>IF($B$11="a",4,IF($B$11="d",7,IF($B$11="m",2,IF($B$11="r",5,IF($B$11="s",1,"#Error")))))</f>
        <v>#Error</v>
      </c>
      <c r="C29" s="111" t="s">
        <v>37</v>
      </c>
      <c r="D29" s="112"/>
    </row>
    <row r="30" spans="1:4" ht="13.5" thickBot="1" x14ac:dyDescent="0.35">
      <c r="A30" s="115" t="s">
        <v>45</v>
      </c>
      <c r="B30" s="116" t="e">
        <f>$B$26+$B$27</f>
        <v>#N/A</v>
      </c>
      <c r="C30" s="117" t="s">
        <v>42</v>
      </c>
      <c r="D30" s="118"/>
    </row>
    <row r="31" spans="1:4" ht="13.5" thickBot="1" x14ac:dyDescent="0.35">
      <c r="A31" s="119" t="s">
        <v>188</v>
      </c>
      <c r="B31" s="120" t="e">
        <f>Computation!C39</f>
        <v>#N/A</v>
      </c>
      <c r="C31" s="121"/>
    </row>
    <row r="32" spans="1:4" ht="16" thickBot="1" x14ac:dyDescent="0.3">
      <c r="A32" s="122" t="s">
        <v>207</v>
      </c>
      <c r="B32" s="123" t="e">
        <f>Computation!B45</f>
        <v>#REF!</v>
      </c>
      <c r="C32" s="124" t="e">
        <f>IF(B32&lt;HT_Min_Benefit,"Benefit calculated is below Minimum Award", "")</f>
        <v>#REF!</v>
      </c>
    </row>
    <row r="33" spans="1:4" ht="13.5" thickBot="1" x14ac:dyDescent="0.3">
      <c r="A33" s="125"/>
    </row>
    <row r="34" spans="1:4" ht="13.5" thickBot="1" x14ac:dyDescent="0.3">
      <c r="A34" s="178" t="s">
        <v>158</v>
      </c>
      <c r="B34" s="179"/>
      <c r="C34" s="179"/>
      <c r="D34" s="180"/>
    </row>
    <row r="35" spans="1:4" x14ac:dyDescent="0.25">
      <c r="A35" s="126" t="s">
        <v>50</v>
      </c>
      <c r="B35" s="106" t="e">
        <f>VLOOKUP(B_Dwelling_Type_ID,PB_Proxy!$A$4:$E$8,4,0)</f>
        <v>#N/A</v>
      </c>
      <c r="C35" s="127" t="s">
        <v>41</v>
      </c>
      <c r="D35" s="108"/>
    </row>
    <row r="36" spans="1:4" x14ac:dyDescent="0.25">
      <c r="A36" s="114" t="s">
        <v>51</v>
      </c>
      <c r="B36" s="110" t="e">
        <f>VLOOKUP(B_Dwelling_Type_ID, PB_Proxy!$A$4:$E$8,3,0) * IF(B_Num_People &gt; 9, 9, B_Num_People)</f>
        <v>#N/A</v>
      </c>
      <c r="C36" s="128" t="s">
        <v>52</v>
      </c>
      <c r="D36" s="112"/>
    </row>
    <row r="37" spans="1:4" x14ac:dyDescent="0.25">
      <c r="A37" s="129" t="s">
        <v>53</v>
      </c>
      <c r="B37" s="130" t="str">
        <f>IF(B_Dwelling_Type="a",4,IF(B_Dwelling_Type="d",7,IF(B_Dwelling_Type="m",2,IF(B_Dwelling_Type="r",5,IF(B_Dwelling_Type="s",1,"#Error")))))</f>
        <v>#Error</v>
      </c>
      <c r="C37" s="128" t="s">
        <v>37</v>
      </c>
      <c r="D37" s="112"/>
    </row>
    <row r="38" spans="1:4" ht="13.5" thickBot="1" x14ac:dyDescent="0.3">
      <c r="A38" s="115" t="s">
        <v>45</v>
      </c>
      <c r="B38" s="131" t="e">
        <f>B35+B36</f>
        <v>#N/A</v>
      </c>
      <c r="C38" s="132" t="s">
        <v>54</v>
      </c>
      <c r="D38" s="118"/>
    </row>
    <row r="39" spans="1:4" ht="13.5" thickBot="1" x14ac:dyDescent="0.3">
      <c r="A39" s="119" t="s">
        <v>188</v>
      </c>
      <c r="B39" s="133">
        <f>Computation!G39</f>
        <v>0</v>
      </c>
      <c r="C39" s="134"/>
    </row>
    <row r="40" spans="1:4" ht="16" thickBot="1" x14ac:dyDescent="0.3">
      <c r="A40" s="135" t="s">
        <v>208</v>
      </c>
      <c r="B40" s="136" t="e">
        <f>Computation!$F$45</f>
        <v>#REF!</v>
      </c>
      <c r="C40" s="124" t="e">
        <f>IF(B40&lt;PB_Minimum_Benefit,"Benefit calculated is below Minimum Award", "")</f>
        <v>#REF!</v>
      </c>
      <c r="D40" s="137"/>
    </row>
    <row r="41" spans="1:4" ht="13.5" thickBot="1" x14ac:dyDescent="0.3">
      <c r="A41" s="125"/>
    </row>
    <row r="42" spans="1:4" ht="16" thickBot="1" x14ac:dyDescent="0.3">
      <c r="A42" s="138" t="s">
        <v>64</v>
      </c>
      <c r="B42" s="139" t="e">
        <f>B32+B40</f>
        <v>#REF!</v>
      </c>
    </row>
    <row r="45" spans="1:4" x14ac:dyDescent="0.25">
      <c r="A45" s="76" t="s">
        <v>192</v>
      </c>
    </row>
  </sheetData>
  <sheetProtection selectLockedCells="1" selectUnlockedCells="1"/>
  <mergeCells count="8">
    <mergeCell ref="A34:D34"/>
    <mergeCell ref="A1:D1"/>
    <mergeCell ref="A25:D25"/>
    <mergeCell ref="A9:D9"/>
    <mergeCell ref="B5:D5"/>
    <mergeCell ref="B6:D6"/>
    <mergeCell ref="B7:D7"/>
    <mergeCell ref="B8:D8"/>
  </mergeCells>
  <phoneticPr fontId="3" type="noConversion"/>
  <printOptions horizontalCentered="1" verticalCentered="1"/>
  <pageMargins left="0.75" right="0.75" top="0.5" bottom="1" header="0.5" footer="0.5"/>
  <pageSetup scale="70" orientation="landscape" r:id="rId1"/>
  <headerFooter alignWithMargins="0">
    <oddFooter>&amp;L&amp;9&amp;Z&amp;F\&amp;A</oddFooter>
  </headerFooter>
  <ignoredErrors>
    <ignoredError sqref="C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rgb="FF00B0F0"/>
  </sheetPr>
  <dimension ref="A1:L45"/>
  <sheetViews>
    <sheetView topLeftCell="A2" zoomScaleNormal="100" workbookViewId="0">
      <selection activeCell="C8" sqref="C8"/>
    </sheetView>
  </sheetViews>
  <sheetFormatPr defaultColWidth="9.1796875" defaultRowHeight="12" x14ac:dyDescent="0.3"/>
  <cols>
    <col min="1" max="1" width="26.453125" style="14" customWidth="1"/>
    <col min="2" max="2" width="26.1796875" style="14" bestFit="1" customWidth="1"/>
    <col min="3" max="3" width="14.1796875" style="14" bestFit="1" customWidth="1"/>
    <col min="4" max="4" width="4" style="14" customWidth="1"/>
    <col min="5" max="5" width="28.7265625" style="14" customWidth="1"/>
    <col min="6" max="6" width="26.1796875" style="14" customWidth="1"/>
    <col min="7" max="7" width="14.1796875" style="14" customWidth="1"/>
    <col min="8" max="8" width="14.81640625" style="14" bestFit="1" customWidth="1"/>
    <col min="9" max="16384" width="9.1796875" style="14"/>
  </cols>
  <sheetData>
    <row r="1" spans="1:11" ht="26.25" customHeight="1" x14ac:dyDescent="0.3">
      <c r="A1" s="207" t="s">
        <v>200</v>
      </c>
      <c r="B1" s="207"/>
      <c r="C1" s="207"/>
      <c r="D1" s="207"/>
      <c r="E1" s="208"/>
      <c r="F1" s="208"/>
      <c r="G1" s="208"/>
    </row>
    <row r="2" spans="1:11" ht="26.25" customHeight="1" x14ac:dyDescent="0.3">
      <c r="A2" s="205" t="s">
        <v>181</v>
      </c>
      <c r="B2" s="206"/>
      <c r="C2" s="206"/>
      <c r="D2" s="15"/>
      <c r="E2" s="205" t="s">
        <v>182</v>
      </c>
      <c r="F2" s="205"/>
      <c r="G2" s="205"/>
    </row>
    <row r="3" spans="1:11" ht="16.5" customHeight="1" x14ac:dyDescent="0.3">
      <c r="A3" s="16" t="s">
        <v>18</v>
      </c>
      <c r="E3" s="17" t="s">
        <v>131</v>
      </c>
    </row>
    <row r="4" spans="1:11" ht="14.5" x14ac:dyDescent="0.35">
      <c r="A4" s="197" t="s">
        <v>2</v>
      </c>
      <c r="B4" s="198"/>
      <c r="C4" s="199"/>
      <c r="E4" s="197" t="s">
        <v>47</v>
      </c>
      <c r="F4" s="198"/>
      <c r="G4" s="199"/>
    </row>
    <row r="5" spans="1:11" ht="13" x14ac:dyDescent="0.3">
      <c r="A5" s="18"/>
      <c r="B5" s="19" t="s">
        <v>1</v>
      </c>
      <c r="C5" s="20">
        <f>(B_Income*12)</f>
        <v>0</v>
      </c>
      <c r="E5" s="18"/>
      <c r="F5" s="19" t="s">
        <v>1</v>
      </c>
      <c r="G5" s="21">
        <f>(B_Income*12)</f>
        <v>0</v>
      </c>
      <c r="H5" s="22"/>
    </row>
    <row r="6" spans="1:11" x14ac:dyDescent="0.3">
      <c r="A6" s="23"/>
      <c r="B6" s="24" t="s">
        <v>133</v>
      </c>
      <c r="C6" s="25">
        <v>15650</v>
      </c>
      <c r="E6" s="23"/>
      <c r="F6" s="24" t="s">
        <v>133</v>
      </c>
      <c r="G6" s="25">
        <v>15650</v>
      </c>
      <c r="H6" s="193" t="s">
        <v>19</v>
      </c>
      <c r="I6" s="194"/>
      <c r="J6" s="194"/>
    </row>
    <row r="7" spans="1:11" x14ac:dyDescent="0.3">
      <c r="A7" s="23"/>
      <c r="B7" s="24" t="s">
        <v>134</v>
      </c>
      <c r="C7" s="25">
        <v>5500</v>
      </c>
      <c r="E7" s="23"/>
      <c r="F7" s="24" t="s">
        <v>134</v>
      </c>
      <c r="G7" s="25">
        <v>5500</v>
      </c>
      <c r="H7" s="193" t="s">
        <v>20</v>
      </c>
      <c r="I7" s="194"/>
      <c r="J7" s="194"/>
      <c r="K7" s="194"/>
    </row>
    <row r="8" spans="1:11" ht="13" x14ac:dyDescent="0.3">
      <c r="A8" s="18"/>
      <c r="B8" s="27" t="s">
        <v>126</v>
      </c>
      <c r="C8" s="20">
        <f>$C$6+((B_Num_People-1)*$C$7)</f>
        <v>10150</v>
      </c>
      <c r="E8" s="18"/>
      <c r="F8" s="19" t="s">
        <v>126</v>
      </c>
      <c r="G8" s="28">
        <f>$G$6+(B_Num_People - 1)*$G$7</f>
        <v>10150</v>
      </c>
      <c r="H8" s="29"/>
    </row>
    <row r="9" spans="1:11" ht="13" x14ac:dyDescent="0.3">
      <c r="A9" s="18"/>
      <c r="B9" s="19" t="s">
        <v>127</v>
      </c>
      <c r="C9" s="30">
        <f>$C$5/$C$8</f>
        <v>0</v>
      </c>
      <c r="E9" s="18"/>
      <c r="F9" s="19" t="s">
        <v>127</v>
      </c>
      <c r="G9" s="31">
        <f>$G$5/$G$8</f>
        <v>0</v>
      </c>
      <c r="H9" s="26"/>
    </row>
    <row r="10" spans="1:11" x14ac:dyDescent="0.3">
      <c r="A10" s="23"/>
      <c r="B10" s="19" t="s">
        <v>129</v>
      </c>
      <c r="C10" s="32">
        <f>MIN($C$9,2.15)</f>
        <v>0</v>
      </c>
      <c r="E10" s="23"/>
      <c r="F10" s="19" t="s">
        <v>129</v>
      </c>
      <c r="G10" s="32">
        <f>MIN($G$9,2.15)</f>
        <v>0</v>
      </c>
      <c r="H10" s="26"/>
    </row>
    <row r="11" spans="1:11" ht="13" x14ac:dyDescent="0.3">
      <c r="A11" s="18"/>
      <c r="B11" s="19" t="s">
        <v>130</v>
      </c>
      <c r="C11" s="32">
        <f>MAX($C$10,0.6)</f>
        <v>0.6</v>
      </c>
      <c r="E11" s="23"/>
      <c r="F11" s="19" t="s">
        <v>130</v>
      </c>
      <c r="G11" s="32">
        <f>MAX($G$10,0.6)</f>
        <v>0.6</v>
      </c>
      <c r="H11" s="26"/>
    </row>
    <row r="12" spans="1:11" ht="13" x14ac:dyDescent="0.3">
      <c r="A12" s="18"/>
      <c r="B12" s="27" t="s">
        <v>132</v>
      </c>
      <c r="C12" s="33">
        <f>MAX($C$11,C10)</f>
        <v>0.6</v>
      </c>
      <c r="E12" s="18"/>
      <c r="F12" s="27" t="s">
        <v>132</v>
      </c>
      <c r="G12" s="33">
        <f>MAX($C$11,G10)</f>
        <v>0.6</v>
      </c>
      <c r="H12" s="26"/>
    </row>
    <row r="13" spans="1:11" ht="13" x14ac:dyDescent="0.3">
      <c r="A13" s="18"/>
      <c r="B13" s="19" t="s">
        <v>156</v>
      </c>
      <c r="C13" s="34" t="e">
        <f>IF(VLOOKUP(B_Num_People, SMI_Lookup!#REF!,2)&gt;=B_Income, FALSE, IF(B_Cat_Eligible="y", FALSE, TRUE))</f>
        <v>#REF!</v>
      </c>
      <c r="E13" s="18"/>
      <c r="F13" s="19" t="s">
        <v>156</v>
      </c>
      <c r="G13" s="34" t="e">
        <f>IF(VLOOKUP(B_Num_People, SMI_Lookup!#REF!,2)&gt;=B_Income, FALSE, IF(B_Cat_Eligible="y", FALSE, TRUE))</f>
        <v>#REF!</v>
      </c>
      <c r="H13" s="26"/>
    </row>
    <row r="14" spans="1:11" ht="13" x14ac:dyDescent="0.3">
      <c r="A14" s="35"/>
      <c r="B14" s="19" t="s">
        <v>155</v>
      </c>
      <c r="C14" s="36" t="b">
        <f>IF($C$9&gt;2.15,IF(B_Cat_Eligible="n",TRUE,FALSE),FALSE)</f>
        <v>0</v>
      </c>
      <c r="E14" s="18"/>
      <c r="F14" s="19" t="s">
        <v>128</v>
      </c>
      <c r="G14" s="36" t="b">
        <f>IF($G$9&gt;2.15,IF(B_Cat_Eligible="n",TRUE,FALSE),FALSE)</f>
        <v>0</v>
      </c>
      <c r="H14" s="26"/>
    </row>
    <row r="15" spans="1:11" x14ac:dyDescent="0.3">
      <c r="A15" s="23"/>
      <c r="B15" s="37" t="s">
        <v>135</v>
      </c>
      <c r="C15" s="38">
        <v>2.6666699999999999</v>
      </c>
      <c r="E15" s="23"/>
      <c r="F15" s="37" t="s">
        <v>135</v>
      </c>
      <c r="G15" s="39">
        <v>2.6666699999999999</v>
      </c>
      <c r="H15" s="193" t="s">
        <v>9</v>
      </c>
      <c r="I15" s="194"/>
      <c r="J15" s="194"/>
    </row>
    <row r="16" spans="1:11" x14ac:dyDescent="0.3">
      <c r="A16" s="23"/>
      <c r="B16" s="37" t="s">
        <v>197</v>
      </c>
      <c r="C16" s="40">
        <v>2.9426899999999998</v>
      </c>
      <c r="E16" s="41"/>
      <c r="F16" s="37" t="s">
        <v>136</v>
      </c>
      <c r="G16" s="39">
        <v>8.3025500000000001</v>
      </c>
      <c r="H16" s="193" t="s">
        <v>48</v>
      </c>
      <c r="I16" s="194"/>
      <c r="J16" s="194"/>
    </row>
    <row r="17" spans="1:12" x14ac:dyDescent="0.3">
      <c r="A17" s="23"/>
      <c r="B17" s="37" t="s">
        <v>137</v>
      </c>
      <c r="C17" s="42">
        <v>2575</v>
      </c>
      <c r="E17" s="41"/>
      <c r="F17" s="37" t="s">
        <v>137</v>
      </c>
      <c r="G17" s="42">
        <v>1399</v>
      </c>
      <c r="H17" s="193" t="s">
        <v>10</v>
      </c>
      <c r="I17" s="194"/>
      <c r="J17" s="194"/>
      <c r="K17" s="194"/>
    </row>
    <row r="18" spans="1:12" x14ac:dyDescent="0.3">
      <c r="A18" s="23"/>
      <c r="B18" s="43" t="s">
        <v>138</v>
      </c>
      <c r="C18" s="44">
        <v>30</v>
      </c>
      <c r="E18" s="41"/>
      <c r="F18" s="43" t="s">
        <v>138</v>
      </c>
      <c r="G18" s="42">
        <v>30</v>
      </c>
      <c r="H18" s="193" t="s">
        <v>11</v>
      </c>
      <c r="I18" s="194"/>
      <c r="J18" s="194"/>
      <c r="K18" s="194"/>
    </row>
    <row r="19" spans="1:12" ht="13" x14ac:dyDescent="0.3">
      <c r="A19" s="45"/>
      <c r="B19" s="46" t="s">
        <v>145</v>
      </c>
      <c r="C19" s="47">
        <v>0.6</v>
      </c>
      <c r="E19" s="48"/>
      <c r="F19" s="46" t="s">
        <v>146</v>
      </c>
      <c r="G19" s="47">
        <v>0.6</v>
      </c>
      <c r="H19" s="195" t="s">
        <v>35</v>
      </c>
      <c r="I19" s="196"/>
      <c r="J19" s="196"/>
      <c r="K19" s="196"/>
    </row>
    <row r="21" spans="1:12" ht="14.5" x14ac:dyDescent="0.35">
      <c r="A21" s="197" t="s">
        <v>71</v>
      </c>
      <c r="B21" s="198"/>
      <c r="C21" s="199"/>
      <c r="E21" s="197" t="s">
        <v>71</v>
      </c>
      <c r="F21" s="198"/>
      <c r="G21" s="199"/>
    </row>
    <row r="22" spans="1:12" x14ac:dyDescent="0.3">
      <c r="A22" s="35"/>
      <c r="B22" s="19" t="s">
        <v>147</v>
      </c>
      <c r="C22" s="49">
        <f>IF(HT_Fuel_Type="el",IF(El_Usage="b",HT_Fuel_Cost*HT_Electric_Baseload,0),0)</f>
        <v>0</v>
      </c>
      <c r="E22" s="23"/>
      <c r="F22" s="19" t="s">
        <v>141</v>
      </c>
      <c r="G22" s="50">
        <f>IF(OR(El_Usage="b",El_Usage="h"),HT_Fuel_Cost*PB_Electric_Baseload,PB_Fuel_Cost)</f>
        <v>0</v>
      </c>
    </row>
    <row r="23" spans="1:12" x14ac:dyDescent="0.3">
      <c r="A23" s="48"/>
      <c r="B23" s="51" t="s">
        <v>148</v>
      </c>
      <c r="C23" s="52">
        <f>SUM(C22:C22)</f>
        <v>0</v>
      </c>
      <c r="E23" s="23"/>
      <c r="F23" s="24" t="s">
        <v>142</v>
      </c>
      <c r="G23" s="50">
        <f>IF(PB_Fuel_Cost &gt; 0, PB_Fuel_Cost, G22)</f>
        <v>0</v>
      </c>
    </row>
    <row r="24" spans="1:12" x14ac:dyDescent="0.3">
      <c r="E24" s="45" t="s">
        <v>140</v>
      </c>
      <c r="F24" s="53">
        <f>G23</f>
        <v>0</v>
      </c>
      <c r="G24" s="54"/>
      <c r="L24" s="19"/>
    </row>
    <row r="25" spans="1:12" ht="14.5" x14ac:dyDescent="0.35">
      <c r="A25" s="197" t="s">
        <v>72</v>
      </c>
      <c r="B25" s="198"/>
      <c r="C25" s="199"/>
      <c r="F25" s="55"/>
      <c r="L25" s="19"/>
    </row>
    <row r="26" spans="1:12" x14ac:dyDescent="0.3">
      <c r="A26" s="45" t="s">
        <v>21</v>
      </c>
      <c r="B26" s="56">
        <f>HT_Fuel_Cost-C23</f>
        <v>0</v>
      </c>
      <c r="C26" s="54"/>
    </row>
    <row r="27" spans="1:12" x14ac:dyDescent="0.3">
      <c r="H27" s="57"/>
    </row>
    <row r="28" spans="1:12" ht="14.5" x14ac:dyDescent="0.35">
      <c r="A28" s="197" t="s">
        <v>70</v>
      </c>
      <c r="B28" s="198"/>
      <c r="C28" s="199"/>
      <c r="E28" s="197" t="s">
        <v>69</v>
      </c>
      <c r="F28" s="198"/>
      <c r="G28" s="199"/>
      <c r="H28" s="57"/>
    </row>
    <row r="29" spans="1:12" x14ac:dyDescent="0.3">
      <c r="A29" s="35"/>
      <c r="B29" s="19" t="s">
        <v>119</v>
      </c>
      <c r="C29" s="50" t="e">
        <f>HT_Proxy</f>
        <v>#N/A</v>
      </c>
      <c r="E29" s="35"/>
      <c r="F29" s="19" t="s">
        <v>139</v>
      </c>
      <c r="G29" s="50" t="e">
        <f>PB_Proxy</f>
        <v>#N/A</v>
      </c>
      <c r="H29" s="57"/>
    </row>
    <row r="30" spans="1:12" x14ac:dyDescent="0.3">
      <c r="A30" s="23" t="s">
        <v>8</v>
      </c>
      <c r="B30" s="19" t="s">
        <v>123</v>
      </c>
      <c r="C30" s="58" t="e">
        <f>C29*2</f>
        <v>#N/A</v>
      </c>
      <c r="E30" s="23" t="s">
        <v>73</v>
      </c>
      <c r="F30" s="19" t="s">
        <v>123</v>
      </c>
      <c r="G30" s="58" t="e">
        <f>G29*2</f>
        <v>#N/A</v>
      </c>
    </row>
    <row r="31" spans="1:12" x14ac:dyDescent="0.3">
      <c r="A31" s="59" t="s">
        <v>198</v>
      </c>
      <c r="B31" s="60" t="s">
        <v>124</v>
      </c>
      <c r="C31" s="61" t="e">
        <f>C29*0.75</f>
        <v>#N/A</v>
      </c>
      <c r="E31" s="59" t="s">
        <v>74</v>
      </c>
      <c r="F31" s="60" t="s">
        <v>144</v>
      </c>
      <c r="G31" s="61" t="e">
        <f>G29*0.5</f>
        <v>#N/A</v>
      </c>
      <c r="I31" s="14" t="b">
        <f>IF(AND(HT_Fuel_Type="EL",El_Usage="B"),G34)</f>
        <v>0</v>
      </c>
    </row>
    <row r="32" spans="1:12" x14ac:dyDescent="0.3">
      <c r="A32" s="35"/>
      <c r="B32" s="19" t="s">
        <v>122</v>
      </c>
      <c r="C32" s="58">
        <f>$B$26</f>
        <v>0</v>
      </c>
      <c r="E32" s="35"/>
      <c r="F32" s="19" t="s">
        <v>143</v>
      </c>
      <c r="G32" s="58">
        <f>F24</f>
        <v>0</v>
      </c>
    </row>
    <row r="33" spans="1:8" x14ac:dyDescent="0.3">
      <c r="A33" s="35"/>
      <c r="B33" s="19" t="s">
        <v>120</v>
      </c>
      <c r="C33" s="58" t="e">
        <f>MIN(C30,C32)</f>
        <v>#N/A</v>
      </c>
      <c r="E33" s="35"/>
      <c r="F33" s="19" t="s">
        <v>120</v>
      </c>
      <c r="G33" s="58" t="e">
        <f>MIN(G30,G32)</f>
        <v>#N/A</v>
      </c>
    </row>
    <row r="34" spans="1:8" x14ac:dyDescent="0.3">
      <c r="A34" s="35"/>
      <c r="B34" s="60" t="s">
        <v>121</v>
      </c>
      <c r="C34" s="58" t="e">
        <f>MAX(C31,C33)</f>
        <v>#N/A</v>
      </c>
      <c r="E34" s="35"/>
      <c r="F34" s="60" t="s">
        <v>199</v>
      </c>
      <c r="G34" s="58" t="e">
        <f>MAX(G31,G33)</f>
        <v>#N/A</v>
      </c>
    </row>
    <row r="35" spans="1:8" x14ac:dyDescent="0.3">
      <c r="A35" s="35"/>
      <c r="B35" s="19" t="s">
        <v>125</v>
      </c>
      <c r="C35" s="50" t="e">
        <f>IF(OR(HT_Fuel_Cost=0,HT_Shared_Business_Meter="y"),C31,C34)</f>
        <v>#N/A</v>
      </c>
      <c r="E35" s="35"/>
      <c r="F35" s="19" t="s">
        <v>125</v>
      </c>
      <c r="G35" s="62" t="e">
        <f>IF(OR(PB_Shared_Business_Meter="n",PB_Fuel_Cost&gt;0),G34,G31)</f>
        <v>#N/A</v>
      </c>
      <c r="H35" s="63" t="s">
        <v>190</v>
      </c>
    </row>
    <row r="36" spans="1:8" x14ac:dyDescent="0.3">
      <c r="A36" s="64" t="s">
        <v>3</v>
      </c>
      <c r="B36" s="65" t="e">
        <f>C35</f>
        <v>#N/A</v>
      </c>
      <c r="C36" s="54"/>
      <c r="E36" s="64" t="s">
        <v>76</v>
      </c>
      <c r="F36" s="66" t="e">
        <f>G35</f>
        <v>#N/A</v>
      </c>
      <c r="G36" s="54"/>
      <c r="H36" s="67" t="s">
        <v>191</v>
      </c>
    </row>
    <row r="38" spans="1:8" ht="14.5" x14ac:dyDescent="0.35">
      <c r="A38" s="197" t="s">
        <v>4</v>
      </c>
      <c r="B38" s="203"/>
      <c r="C38" s="204"/>
      <c r="E38" s="200" t="s">
        <v>49</v>
      </c>
      <c r="F38" s="201"/>
      <c r="G38" s="202"/>
    </row>
    <row r="39" spans="1:8" x14ac:dyDescent="0.3">
      <c r="A39" s="35"/>
      <c r="B39" s="19" t="s">
        <v>75</v>
      </c>
      <c r="C39" s="58" t="e">
        <f>((HT_Benefit_Ratio - HT_Benefit_FPL) / HT_Funding_Factor) * HT_Heat_Cost</f>
        <v>#N/A</v>
      </c>
      <c r="E39" s="27"/>
      <c r="F39" s="19" t="s">
        <v>183</v>
      </c>
      <c r="G39" s="68">
        <f>IF(PB_Vendor="y", (PB_Benefit_Ratio - PB_Benefit_FPL) / PB_Funding_Factor * PB_Baseload_Cost,0)</f>
        <v>0</v>
      </c>
    </row>
    <row r="40" spans="1:8" x14ac:dyDescent="0.3">
      <c r="A40" s="35"/>
      <c r="B40" s="19" t="s">
        <v>184</v>
      </c>
      <c r="C40" s="50" t="e">
        <f>IF(HT_SMI_Not_Eligible=TRUE,IF(B_Cat_Eligible ="n",0,C39),C39)</f>
        <v>#REF!</v>
      </c>
      <c r="E40" s="23"/>
      <c r="F40" s="19" t="s">
        <v>184</v>
      </c>
      <c r="G40" s="50" t="e">
        <f>IF(HT_SMI_Not_Eligible=TRUE,IF(B_Cat_Eligible ="n",0,G39),G39)</f>
        <v>#REF!</v>
      </c>
    </row>
    <row r="41" spans="1:8" x14ac:dyDescent="0.3">
      <c r="A41" s="35"/>
      <c r="B41" s="19" t="s">
        <v>77</v>
      </c>
      <c r="C41" s="69" t="e">
        <f>MIN(TRUNC(C40),HT_Maximum_Benefit)</f>
        <v>#REF!</v>
      </c>
      <c r="E41" s="23"/>
      <c r="F41" s="19" t="s">
        <v>77</v>
      </c>
      <c r="G41" s="50" t="e">
        <f>MIN(TRUNC(G40),PB_Maximum_Benefit)</f>
        <v>#REF!</v>
      </c>
    </row>
    <row r="42" spans="1:8" x14ac:dyDescent="0.3">
      <c r="A42" s="35"/>
      <c r="B42" s="19" t="s">
        <v>78</v>
      </c>
      <c r="C42" s="69" t="e">
        <f>IF(C41&lt;HT_Minimum_Benefit,0,C41)</f>
        <v>#REF!</v>
      </c>
      <c r="E42" s="23"/>
      <c r="F42" s="19" t="s">
        <v>78</v>
      </c>
      <c r="G42" s="50" t="e">
        <f>IF(G41&lt;PB_Minimum_Benefit,0,G41)</f>
        <v>#REF!</v>
      </c>
    </row>
    <row r="43" spans="1:8" ht="13" x14ac:dyDescent="0.3">
      <c r="A43" s="48"/>
      <c r="B43" s="51" t="s">
        <v>79</v>
      </c>
      <c r="C43" s="70" t="e">
        <f>TRUNC(C42)</f>
        <v>#REF!</v>
      </c>
      <c r="E43" s="45"/>
      <c r="F43" s="51" t="s">
        <v>79</v>
      </c>
      <c r="G43" s="71" t="e">
        <f>TRUNC(G42)</f>
        <v>#REF!</v>
      </c>
      <c r="H43" s="5"/>
    </row>
    <row r="44" spans="1:8" ht="13.5" thickBot="1" x14ac:dyDescent="0.35">
      <c r="C44" s="72"/>
      <c r="H44" s="5"/>
    </row>
    <row r="45" spans="1:8" ht="15" thickBot="1" x14ac:dyDescent="0.4">
      <c r="A45" s="73" t="s">
        <v>5</v>
      </c>
      <c r="B45" s="74" t="e">
        <f>C43</f>
        <v>#REF!</v>
      </c>
      <c r="E45" s="75" t="s">
        <v>5</v>
      </c>
      <c r="F45" s="74" t="e">
        <f>G43</f>
        <v>#REF!</v>
      </c>
    </row>
  </sheetData>
  <sheetProtection selectLockedCells="1"/>
  <mergeCells count="19">
    <mergeCell ref="A2:C2"/>
    <mergeCell ref="E2:G2"/>
    <mergeCell ref="A1:G1"/>
    <mergeCell ref="E4:G4"/>
    <mergeCell ref="E21:G21"/>
    <mergeCell ref="E28:G28"/>
    <mergeCell ref="E38:G38"/>
    <mergeCell ref="A38:C38"/>
    <mergeCell ref="A28:C28"/>
    <mergeCell ref="A4:C4"/>
    <mergeCell ref="A25:C25"/>
    <mergeCell ref="A21:C21"/>
    <mergeCell ref="H18:K18"/>
    <mergeCell ref="H19:K19"/>
    <mergeCell ref="H6:J6"/>
    <mergeCell ref="H7:K7"/>
    <mergeCell ref="H15:J15"/>
    <mergeCell ref="H16:J16"/>
    <mergeCell ref="H17:K17"/>
  </mergeCells>
  <phoneticPr fontId="3" type="noConversion"/>
  <printOptions horizontalCentered="1" verticalCentered="1"/>
  <pageMargins left="0.25" right="0.25" top="0.5" bottom="0.5" header="0.5" footer="0.25"/>
  <pageSetup scale="75" orientation="landscape" r:id="rId1"/>
  <headerFooter alignWithMargins="0">
    <oddFooter>&amp;L&amp;9&amp;Z&amp;F\&amp;A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00B0F0"/>
  </sheetPr>
  <dimension ref="A1:H29"/>
  <sheetViews>
    <sheetView workbookViewId="0">
      <pane ySplit="3" topLeftCell="A19" activePane="bottomLeft" state="frozen"/>
      <selection pane="bottomLeft" activeCell="C10" sqref="C10"/>
    </sheetView>
  </sheetViews>
  <sheetFormatPr defaultColWidth="9.1796875" defaultRowHeight="15.75" customHeight="1" x14ac:dyDescent="0.3"/>
  <cols>
    <col min="1" max="1" width="10.1796875" style="5" customWidth="1"/>
    <col min="2" max="2" width="22.453125" style="5" customWidth="1"/>
    <col min="3" max="3" width="38.26953125" style="5" bestFit="1" customWidth="1"/>
    <col min="4" max="4" width="15.54296875" style="5" customWidth="1"/>
    <col min="5" max="16384" width="9.1796875" style="5"/>
  </cols>
  <sheetData>
    <row r="1" spans="1:8" ht="15.75" customHeight="1" x14ac:dyDescent="0.45">
      <c r="A1" s="209" t="s">
        <v>214</v>
      </c>
      <c r="B1" s="209"/>
      <c r="C1" s="209"/>
      <c r="D1" s="209"/>
      <c r="E1" s="209"/>
      <c r="F1" s="209"/>
      <c r="G1" s="209"/>
      <c r="H1" s="209"/>
    </row>
    <row r="2" spans="1:8" ht="15.75" customHeight="1" x14ac:dyDescent="0.3">
      <c r="A2" s="5" t="s">
        <v>39</v>
      </c>
      <c r="D2" s="5" t="s">
        <v>187</v>
      </c>
    </row>
    <row r="3" spans="1:8" ht="15.75" customHeight="1" thickBot="1" x14ac:dyDescent="0.4">
      <c r="A3" s="8" t="s">
        <v>22</v>
      </c>
      <c r="B3" s="8" t="s">
        <v>23</v>
      </c>
      <c r="C3" s="8" t="s">
        <v>25</v>
      </c>
      <c r="D3" s="8" t="s">
        <v>24</v>
      </c>
      <c r="E3" s="9" t="s">
        <v>26</v>
      </c>
      <c r="F3" s="9" t="s">
        <v>27</v>
      </c>
      <c r="G3" s="4" t="s">
        <v>14</v>
      </c>
      <c r="H3" s="8" t="s">
        <v>28</v>
      </c>
    </row>
    <row r="4" spans="1:8" ht="15.75" customHeight="1" thickTop="1" x14ac:dyDescent="0.35">
      <c r="A4" s="10">
        <v>1</v>
      </c>
      <c r="B4" s="10">
        <v>1</v>
      </c>
      <c r="C4" s="11" t="s">
        <v>30</v>
      </c>
      <c r="D4" s="12" t="s">
        <v>29</v>
      </c>
      <c r="E4" s="157">
        <v>68</v>
      </c>
      <c r="F4" s="154">
        <v>1221</v>
      </c>
      <c r="G4" s="152">
        <v>2244</v>
      </c>
      <c r="H4" s="10" t="b">
        <v>0</v>
      </c>
    </row>
    <row r="5" spans="1:8" ht="15.75" customHeight="1" x14ac:dyDescent="0.35">
      <c r="A5" s="10">
        <v>2</v>
      </c>
      <c r="B5" s="10">
        <v>1</v>
      </c>
      <c r="C5" s="11" t="s">
        <v>30</v>
      </c>
      <c r="D5" s="12" t="s">
        <v>7</v>
      </c>
      <c r="E5" s="144">
        <v>60</v>
      </c>
      <c r="F5" s="155">
        <v>354</v>
      </c>
      <c r="G5" s="152">
        <v>64281</v>
      </c>
      <c r="H5" s="10" t="b">
        <v>0</v>
      </c>
    </row>
    <row r="6" spans="1:8" ht="15.75" customHeight="1" x14ac:dyDescent="0.35">
      <c r="A6" s="10">
        <v>3</v>
      </c>
      <c r="B6" s="10">
        <v>1</v>
      </c>
      <c r="C6" s="11" t="s">
        <v>30</v>
      </c>
      <c r="D6" s="12" t="s">
        <v>34</v>
      </c>
      <c r="E6" s="144">
        <v>82</v>
      </c>
      <c r="F6" s="155">
        <v>736</v>
      </c>
      <c r="G6" s="152">
        <v>13272</v>
      </c>
      <c r="H6" s="10" t="b">
        <v>0</v>
      </c>
    </row>
    <row r="7" spans="1:8" ht="15.75" customHeight="1" x14ac:dyDescent="0.35">
      <c r="A7" s="10">
        <v>4</v>
      </c>
      <c r="B7" s="10">
        <v>1</v>
      </c>
      <c r="C7" s="11" t="s">
        <v>30</v>
      </c>
      <c r="D7" s="12" t="s">
        <v>185</v>
      </c>
      <c r="E7" s="144">
        <v>108</v>
      </c>
      <c r="F7" s="155">
        <v>261</v>
      </c>
      <c r="G7" s="152">
        <v>2604</v>
      </c>
      <c r="H7" s="10" t="b">
        <v>0</v>
      </c>
    </row>
    <row r="8" spans="1:8" ht="15.75" customHeight="1" x14ac:dyDescent="0.35">
      <c r="A8" s="10">
        <v>5</v>
      </c>
      <c r="B8" s="10">
        <v>1</v>
      </c>
      <c r="C8" s="11" t="s">
        <v>30</v>
      </c>
      <c r="D8" s="12" t="s">
        <v>186</v>
      </c>
      <c r="E8" s="144">
        <v>89</v>
      </c>
      <c r="F8" s="155">
        <v>524</v>
      </c>
      <c r="G8" s="152">
        <v>1</v>
      </c>
      <c r="H8" s="10" t="b">
        <v>1</v>
      </c>
    </row>
    <row r="9" spans="1:8" ht="15.75" customHeight="1" x14ac:dyDescent="0.35">
      <c r="A9" s="10">
        <v>1</v>
      </c>
      <c r="B9" s="10">
        <v>2</v>
      </c>
      <c r="C9" s="11" t="s">
        <v>31</v>
      </c>
      <c r="D9" s="12" t="s">
        <v>29</v>
      </c>
      <c r="E9" s="144">
        <v>-13</v>
      </c>
      <c r="F9" s="155">
        <v>1521</v>
      </c>
      <c r="G9" s="152">
        <v>69</v>
      </c>
      <c r="H9" s="10" t="b">
        <v>0</v>
      </c>
    </row>
    <row r="10" spans="1:8" ht="15.75" customHeight="1" x14ac:dyDescent="0.35">
      <c r="A10" s="10">
        <v>2</v>
      </c>
      <c r="B10" s="10">
        <v>2</v>
      </c>
      <c r="C10" s="11" t="s">
        <v>31</v>
      </c>
      <c r="D10" s="12" t="s">
        <v>7</v>
      </c>
      <c r="E10" s="167">
        <v>28</v>
      </c>
      <c r="F10" s="168">
        <v>471</v>
      </c>
      <c r="G10" s="152">
        <v>8968</v>
      </c>
      <c r="H10" s="10" t="b">
        <v>0</v>
      </c>
    </row>
    <row r="11" spans="1:8" ht="15.75" customHeight="1" x14ac:dyDescent="0.35">
      <c r="A11" s="10">
        <v>3</v>
      </c>
      <c r="B11" s="10">
        <v>2</v>
      </c>
      <c r="C11" s="11" t="s">
        <v>31</v>
      </c>
      <c r="D11" s="12" t="s">
        <v>34</v>
      </c>
      <c r="E11" s="144">
        <v>69</v>
      </c>
      <c r="F11" s="155">
        <v>723</v>
      </c>
      <c r="G11" s="152">
        <v>3594</v>
      </c>
      <c r="H11" s="10" t="b">
        <v>0</v>
      </c>
    </row>
    <row r="12" spans="1:8" ht="15.75" customHeight="1" x14ac:dyDescent="0.35">
      <c r="A12" s="10">
        <v>4</v>
      </c>
      <c r="B12" s="10">
        <v>2</v>
      </c>
      <c r="C12" s="11" t="s">
        <v>31</v>
      </c>
      <c r="D12" s="12" t="s">
        <v>185</v>
      </c>
      <c r="E12" s="144">
        <v>120</v>
      </c>
      <c r="F12" s="155">
        <v>227</v>
      </c>
      <c r="G12" s="152">
        <v>295</v>
      </c>
      <c r="H12" s="10" t="b">
        <v>0</v>
      </c>
    </row>
    <row r="13" spans="1:8" ht="15.75" customHeight="1" x14ac:dyDescent="0.35">
      <c r="A13" s="10">
        <v>5</v>
      </c>
      <c r="B13" s="10">
        <v>2</v>
      </c>
      <c r="C13" s="11" t="s">
        <v>31</v>
      </c>
      <c r="D13" s="12" t="s">
        <v>186</v>
      </c>
      <c r="E13" s="144">
        <v>41</v>
      </c>
      <c r="F13" s="155">
        <v>697</v>
      </c>
      <c r="G13" s="152">
        <v>1</v>
      </c>
      <c r="H13" s="10" t="b">
        <v>1</v>
      </c>
    </row>
    <row r="14" spans="1:8" s="146" customFormat="1" ht="15.75" customHeight="1" x14ac:dyDescent="0.35">
      <c r="A14" s="148">
        <v>1</v>
      </c>
      <c r="B14" s="148">
        <v>4</v>
      </c>
      <c r="C14" s="149" t="s">
        <v>32</v>
      </c>
      <c r="D14" s="150" t="s">
        <v>29</v>
      </c>
      <c r="E14" s="144">
        <v>8</v>
      </c>
      <c r="F14" s="155">
        <v>1335</v>
      </c>
      <c r="G14" s="153">
        <v>3</v>
      </c>
      <c r="H14" s="148" t="b">
        <v>1</v>
      </c>
    </row>
    <row r="15" spans="1:8" s="146" customFormat="1" ht="15.75" customHeight="1" x14ac:dyDescent="0.35">
      <c r="A15" s="148">
        <v>2</v>
      </c>
      <c r="B15" s="148">
        <v>4</v>
      </c>
      <c r="C15" s="149" t="s">
        <v>32</v>
      </c>
      <c r="D15" s="150" t="s">
        <v>7</v>
      </c>
      <c r="E15" s="144">
        <v>68</v>
      </c>
      <c r="F15" s="155">
        <v>116</v>
      </c>
      <c r="G15" s="153">
        <v>10684</v>
      </c>
      <c r="H15" s="148" t="b">
        <v>0</v>
      </c>
    </row>
    <row r="16" spans="1:8" s="146" customFormat="1" ht="15.75" customHeight="1" x14ac:dyDescent="0.35">
      <c r="A16" s="148">
        <v>3</v>
      </c>
      <c r="B16" s="148">
        <v>4</v>
      </c>
      <c r="C16" s="149" t="s">
        <v>32</v>
      </c>
      <c r="D16" s="150" t="s">
        <v>34</v>
      </c>
      <c r="E16" s="144">
        <v>51</v>
      </c>
      <c r="F16" s="155">
        <v>751</v>
      </c>
      <c r="G16" s="153">
        <v>6</v>
      </c>
      <c r="H16" s="148" t="b">
        <v>1</v>
      </c>
    </row>
    <row r="17" spans="1:8" s="146" customFormat="1" ht="15.75" customHeight="1" x14ac:dyDescent="0.35">
      <c r="A17" s="148">
        <v>4</v>
      </c>
      <c r="B17" s="148">
        <v>4</v>
      </c>
      <c r="C17" s="149" t="s">
        <v>32</v>
      </c>
      <c r="D17" s="150" t="s">
        <v>185</v>
      </c>
      <c r="E17" s="144">
        <v>111</v>
      </c>
      <c r="F17" s="155">
        <v>88</v>
      </c>
      <c r="G17" s="153">
        <v>17256</v>
      </c>
      <c r="H17" s="148" t="b">
        <v>0</v>
      </c>
    </row>
    <row r="18" spans="1:8" s="146" customFormat="1" ht="15.75" customHeight="1" x14ac:dyDescent="0.35">
      <c r="A18" s="148">
        <v>5</v>
      </c>
      <c r="B18" s="148">
        <v>4</v>
      </c>
      <c r="C18" s="149" t="s">
        <v>32</v>
      </c>
      <c r="D18" s="150" t="s">
        <v>186</v>
      </c>
      <c r="E18" s="144">
        <v>101</v>
      </c>
      <c r="F18" s="155">
        <v>172</v>
      </c>
      <c r="G18" s="151">
        <v>0</v>
      </c>
      <c r="H18" s="148" t="b">
        <v>1</v>
      </c>
    </row>
    <row r="19" spans="1:8" ht="15.75" customHeight="1" x14ac:dyDescent="0.35">
      <c r="A19" s="10">
        <v>1</v>
      </c>
      <c r="B19" s="10">
        <v>5</v>
      </c>
      <c r="C19" s="11" t="s">
        <v>33</v>
      </c>
      <c r="D19" s="12" t="s">
        <v>29</v>
      </c>
      <c r="E19" s="144">
        <v>8</v>
      </c>
      <c r="F19" s="155">
        <v>1335</v>
      </c>
      <c r="G19" s="13">
        <v>0</v>
      </c>
      <c r="H19" s="10" t="b">
        <v>1</v>
      </c>
    </row>
    <row r="20" spans="1:8" ht="15.75" customHeight="1" x14ac:dyDescent="0.35">
      <c r="A20" s="10">
        <v>2</v>
      </c>
      <c r="B20" s="10">
        <v>5</v>
      </c>
      <c r="C20" s="11" t="s">
        <v>33</v>
      </c>
      <c r="D20" s="12" t="s">
        <v>7</v>
      </c>
      <c r="E20" s="144">
        <v>68</v>
      </c>
      <c r="F20" s="155">
        <v>116</v>
      </c>
      <c r="G20" s="13">
        <v>0</v>
      </c>
      <c r="H20" s="10" t="b">
        <v>1</v>
      </c>
    </row>
    <row r="21" spans="1:8" ht="15.75" customHeight="1" x14ac:dyDescent="0.35">
      <c r="A21" s="10">
        <v>3</v>
      </c>
      <c r="B21" s="10">
        <v>5</v>
      </c>
      <c r="C21" s="11" t="s">
        <v>33</v>
      </c>
      <c r="D21" s="12" t="s">
        <v>34</v>
      </c>
      <c r="E21" s="144">
        <v>51</v>
      </c>
      <c r="F21" s="155">
        <v>751</v>
      </c>
      <c r="G21" s="13">
        <v>0</v>
      </c>
      <c r="H21" s="10" t="s">
        <v>209</v>
      </c>
    </row>
    <row r="22" spans="1:8" ht="15.75" customHeight="1" x14ac:dyDescent="0.35">
      <c r="A22" s="10">
        <v>4</v>
      </c>
      <c r="B22" s="10">
        <v>5</v>
      </c>
      <c r="C22" s="11" t="s">
        <v>33</v>
      </c>
      <c r="D22" s="12" t="s">
        <v>185</v>
      </c>
      <c r="E22" s="144">
        <v>111</v>
      </c>
      <c r="F22" s="155">
        <v>88</v>
      </c>
      <c r="G22" s="13">
        <v>0</v>
      </c>
      <c r="H22" s="10" t="b">
        <v>1</v>
      </c>
    </row>
    <row r="23" spans="1:8" ht="15.75" customHeight="1" x14ac:dyDescent="0.35">
      <c r="A23" s="10">
        <v>5</v>
      </c>
      <c r="B23" s="10">
        <v>5</v>
      </c>
      <c r="C23" s="11" t="s">
        <v>33</v>
      </c>
      <c r="D23" s="12" t="s">
        <v>186</v>
      </c>
      <c r="E23" s="144">
        <v>101</v>
      </c>
      <c r="F23" s="155">
        <v>172</v>
      </c>
      <c r="G23" s="13">
        <v>0</v>
      </c>
      <c r="H23" s="10" t="b">
        <v>1</v>
      </c>
    </row>
    <row r="24" spans="1:8" ht="15.75" customHeight="1" x14ac:dyDescent="0.35">
      <c r="A24" s="10">
        <v>1</v>
      </c>
      <c r="B24" s="10">
        <v>7</v>
      </c>
      <c r="C24" s="11" t="s">
        <v>13</v>
      </c>
      <c r="D24" s="12" t="s">
        <v>29</v>
      </c>
      <c r="E24" s="144">
        <v>8</v>
      </c>
      <c r="F24" s="155">
        <v>1335</v>
      </c>
      <c r="G24" s="152">
        <v>77</v>
      </c>
      <c r="H24" s="10" t="b">
        <v>0</v>
      </c>
    </row>
    <row r="25" spans="1:8" ht="15.75" customHeight="1" x14ac:dyDescent="0.35">
      <c r="A25" s="10">
        <v>2</v>
      </c>
      <c r="B25" s="10">
        <v>7</v>
      </c>
      <c r="C25" s="11" t="s">
        <v>13</v>
      </c>
      <c r="D25" s="12" t="s">
        <v>7</v>
      </c>
      <c r="E25" s="144">
        <v>65</v>
      </c>
      <c r="F25" s="155">
        <v>297</v>
      </c>
      <c r="G25" s="152">
        <v>33595</v>
      </c>
      <c r="H25" s="10" t="b">
        <v>0</v>
      </c>
    </row>
    <row r="26" spans="1:8" ht="15.75" customHeight="1" x14ac:dyDescent="0.35">
      <c r="A26" s="10">
        <v>3</v>
      </c>
      <c r="B26" s="10">
        <v>7</v>
      </c>
      <c r="C26" s="11" t="s">
        <v>13</v>
      </c>
      <c r="D26" s="12" t="s">
        <v>34</v>
      </c>
      <c r="E26" s="144">
        <v>51</v>
      </c>
      <c r="F26" s="155">
        <v>751</v>
      </c>
      <c r="G26" s="152">
        <v>268</v>
      </c>
      <c r="H26" s="10" t="b">
        <v>0</v>
      </c>
    </row>
    <row r="27" spans="1:8" ht="15.75" customHeight="1" x14ac:dyDescent="0.35">
      <c r="A27" s="10">
        <v>4</v>
      </c>
      <c r="B27" s="10">
        <v>7</v>
      </c>
      <c r="C27" s="11" t="s">
        <v>13</v>
      </c>
      <c r="D27" s="12" t="s">
        <v>185</v>
      </c>
      <c r="E27" s="144">
        <v>106</v>
      </c>
      <c r="F27" s="155">
        <v>207</v>
      </c>
      <c r="G27" s="152">
        <v>4491</v>
      </c>
      <c r="H27" s="10" t="b">
        <v>0</v>
      </c>
    </row>
    <row r="28" spans="1:8" ht="15.75" customHeight="1" thickBot="1" x14ac:dyDescent="0.4">
      <c r="A28" s="10">
        <v>5</v>
      </c>
      <c r="B28" s="10">
        <v>7</v>
      </c>
      <c r="C28" s="11" t="s">
        <v>13</v>
      </c>
      <c r="D28" s="12" t="s">
        <v>186</v>
      </c>
      <c r="E28" s="145">
        <v>96</v>
      </c>
      <c r="F28" s="156">
        <v>440</v>
      </c>
      <c r="G28" s="152">
        <v>0</v>
      </c>
      <c r="H28" s="10" t="b">
        <v>1</v>
      </c>
    </row>
    <row r="29" spans="1:8" ht="15.75" customHeight="1" thickTop="1" x14ac:dyDescent="0.3"/>
  </sheetData>
  <mergeCells count="1">
    <mergeCell ref="A1:H1"/>
  </mergeCells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00B0F0"/>
  </sheetPr>
  <dimension ref="A1:F9"/>
  <sheetViews>
    <sheetView workbookViewId="0">
      <selection sqref="A1:F1"/>
    </sheetView>
  </sheetViews>
  <sheetFormatPr defaultColWidth="9.1796875" defaultRowHeight="13" x14ac:dyDescent="0.3"/>
  <cols>
    <col min="1" max="1" width="19.1796875" style="5" customWidth="1"/>
    <col min="2" max="2" width="40.81640625" style="5" customWidth="1"/>
    <col min="3" max="16384" width="9.1796875" style="5"/>
  </cols>
  <sheetData>
    <row r="1" spans="1:6" ht="18.5" x14ac:dyDescent="0.45">
      <c r="A1" s="209" t="s">
        <v>215</v>
      </c>
      <c r="B1" s="209"/>
      <c r="C1" s="209"/>
      <c r="D1" s="209"/>
      <c r="E1" s="209"/>
      <c r="F1" s="209"/>
    </row>
    <row r="2" spans="1:6" x14ac:dyDescent="0.3">
      <c r="A2" s="5" t="s">
        <v>39</v>
      </c>
    </row>
    <row r="3" spans="1:6" ht="15" thickBot="1" x14ac:dyDescent="0.4">
      <c r="A3" s="6" t="s">
        <v>23</v>
      </c>
      <c r="B3" s="6" t="s">
        <v>25</v>
      </c>
      <c r="C3" s="160" t="s">
        <v>26</v>
      </c>
      <c r="D3" s="160" t="s">
        <v>27</v>
      </c>
      <c r="E3" s="3" t="s">
        <v>14</v>
      </c>
      <c r="F3" s="6" t="s">
        <v>28</v>
      </c>
    </row>
    <row r="4" spans="1:6" ht="15" thickTop="1" x14ac:dyDescent="0.35">
      <c r="A4" s="7">
        <v>1</v>
      </c>
      <c r="B4" s="158" t="s">
        <v>30</v>
      </c>
      <c r="C4" s="161">
        <v>181</v>
      </c>
      <c r="D4" s="162">
        <v>1026</v>
      </c>
      <c r="E4" s="159">
        <v>78615</v>
      </c>
      <c r="F4" s="7">
        <v>0</v>
      </c>
    </row>
    <row r="5" spans="1:6" ht="14.5" x14ac:dyDescent="0.35">
      <c r="A5" s="7">
        <v>2</v>
      </c>
      <c r="B5" s="158" t="s">
        <v>31</v>
      </c>
      <c r="C5" s="163">
        <v>208</v>
      </c>
      <c r="D5" s="164">
        <v>939</v>
      </c>
      <c r="E5" s="159">
        <v>12174</v>
      </c>
      <c r="F5" s="7">
        <v>0</v>
      </c>
    </row>
    <row r="6" spans="1:6" ht="14.5" x14ac:dyDescent="0.35">
      <c r="A6" s="7">
        <v>4</v>
      </c>
      <c r="B6" s="158" t="s">
        <v>32</v>
      </c>
      <c r="C6" s="163">
        <v>180</v>
      </c>
      <c r="D6" s="164">
        <v>582</v>
      </c>
      <c r="E6" s="159">
        <v>25237</v>
      </c>
      <c r="F6" s="7">
        <v>0</v>
      </c>
    </row>
    <row r="7" spans="1:6" ht="15" customHeight="1" x14ac:dyDescent="0.35">
      <c r="A7" s="7">
        <v>5</v>
      </c>
      <c r="B7" s="158" t="s">
        <v>212</v>
      </c>
      <c r="C7" s="163">
        <v>180</v>
      </c>
      <c r="D7" s="164">
        <v>582</v>
      </c>
      <c r="E7" s="159">
        <v>25237</v>
      </c>
      <c r="F7" s="7">
        <v>-1</v>
      </c>
    </row>
    <row r="8" spans="1:6" ht="15" thickBot="1" x14ac:dyDescent="0.4">
      <c r="A8" s="7">
        <v>7</v>
      </c>
      <c r="B8" s="158" t="s">
        <v>13</v>
      </c>
      <c r="C8" s="165">
        <v>114</v>
      </c>
      <c r="D8" s="166">
        <v>901</v>
      </c>
      <c r="E8" s="159">
        <v>36183</v>
      </c>
      <c r="F8" s="7">
        <v>0</v>
      </c>
    </row>
    <row r="9" spans="1:6" ht="13.5" thickTop="1" x14ac:dyDescent="0.3"/>
  </sheetData>
  <mergeCells count="1">
    <mergeCell ref="A1:F1"/>
  </mergeCells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00B0F0"/>
  </sheetPr>
  <dimension ref="A1:D55"/>
  <sheetViews>
    <sheetView zoomScale="115" zoomScaleNormal="115" workbookViewId="0">
      <selection activeCell="E6" sqref="E6"/>
    </sheetView>
  </sheetViews>
  <sheetFormatPr defaultColWidth="9.1796875" defaultRowHeight="13" x14ac:dyDescent="0.3"/>
  <cols>
    <col min="1" max="1" width="14.7265625" style="5" bestFit="1" customWidth="1"/>
    <col min="2" max="2" width="17.54296875" style="5" customWidth="1"/>
    <col min="3" max="3" width="18" style="5" customWidth="1"/>
    <col min="4" max="4" width="12.7265625" style="5" bestFit="1" customWidth="1"/>
    <col min="5" max="5" width="9.1796875" style="5"/>
    <col min="6" max="6" width="13.6328125" style="5" customWidth="1"/>
    <col min="7" max="7" width="16.6328125" style="5" customWidth="1"/>
    <col min="8" max="8" width="17.1796875" style="5" customWidth="1"/>
    <col min="9" max="9" width="13.54296875" style="5" customWidth="1"/>
    <col min="10" max="16384" width="9.1796875" style="5"/>
  </cols>
  <sheetData>
    <row r="1" spans="1:4" ht="18.5" x14ac:dyDescent="0.45">
      <c r="A1" s="209" t="s">
        <v>216</v>
      </c>
      <c r="B1" s="209"/>
      <c r="C1" s="209"/>
      <c r="D1" s="209"/>
    </row>
    <row r="2" spans="1:4" x14ac:dyDescent="0.3">
      <c r="A2" s="5" t="s">
        <v>154</v>
      </c>
    </row>
    <row r="3" spans="1:4" x14ac:dyDescent="0.3">
      <c r="A3" s="169" t="s">
        <v>152</v>
      </c>
      <c r="B3" s="170" t="s">
        <v>201</v>
      </c>
      <c r="C3" s="170" t="s">
        <v>202</v>
      </c>
      <c r="D3" s="170" t="s">
        <v>153</v>
      </c>
    </row>
    <row r="4" spans="1:4" x14ac:dyDescent="0.3">
      <c r="A4" s="171">
        <v>1</v>
      </c>
      <c r="B4" s="172">
        <v>3201.75</v>
      </c>
      <c r="C4" s="172">
        <f>+B4*3</f>
        <v>9605.25</v>
      </c>
      <c r="D4" s="173">
        <v>38421</v>
      </c>
    </row>
    <row r="5" spans="1:4" x14ac:dyDescent="0.3">
      <c r="A5" s="171">
        <v>2</v>
      </c>
      <c r="B5" s="174">
        <v>4186.92</v>
      </c>
      <c r="C5" s="172">
        <f t="shared" ref="C5:C23" si="0">+B5*3</f>
        <v>12560.76</v>
      </c>
      <c r="D5" s="175">
        <v>50243</v>
      </c>
    </row>
    <row r="6" spans="1:4" x14ac:dyDescent="0.3">
      <c r="A6" s="171">
        <v>3</v>
      </c>
      <c r="B6" s="174">
        <v>5172.08</v>
      </c>
      <c r="C6" s="172">
        <f t="shared" si="0"/>
        <v>15516.24</v>
      </c>
      <c r="D6" s="175">
        <v>62065</v>
      </c>
    </row>
    <row r="7" spans="1:4" x14ac:dyDescent="0.3">
      <c r="A7" s="171">
        <v>4</v>
      </c>
      <c r="B7" s="172">
        <v>6157.33</v>
      </c>
      <c r="C7" s="172">
        <f t="shared" si="0"/>
        <v>18471.989999999998</v>
      </c>
      <c r="D7" s="173">
        <v>73888</v>
      </c>
    </row>
    <row r="8" spans="1:4" x14ac:dyDescent="0.3">
      <c r="A8" s="171">
        <v>5</v>
      </c>
      <c r="B8" s="172">
        <v>7142.5</v>
      </c>
      <c r="C8" s="172">
        <f t="shared" si="0"/>
        <v>21427.5</v>
      </c>
      <c r="D8" s="173">
        <v>85710</v>
      </c>
    </row>
    <row r="9" spans="1:4" x14ac:dyDescent="0.3">
      <c r="A9" s="171">
        <v>6</v>
      </c>
      <c r="B9" s="172">
        <v>8127.67</v>
      </c>
      <c r="C9" s="172">
        <f t="shared" si="0"/>
        <v>24383.010000000002</v>
      </c>
      <c r="D9" s="173">
        <v>97532</v>
      </c>
    </row>
    <row r="10" spans="1:4" x14ac:dyDescent="0.3">
      <c r="A10" s="171">
        <v>7</v>
      </c>
      <c r="B10" s="172">
        <v>8312.33</v>
      </c>
      <c r="C10" s="172">
        <f t="shared" si="0"/>
        <v>24936.989999999998</v>
      </c>
      <c r="D10" s="173">
        <v>99748</v>
      </c>
    </row>
    <row r="11" spans="1:4" x14ac:dyDescent="0.3">
      <c r="A11" s="171">
        <v>8</v>
      </c>
      <c r="B11" s="172">
        <v>8497.08</v>
      </c>
      <c r="C11" s="172">
        <f t="shared" si="0"/>
        <v>25491.239999999998</v>
      </c>
      <c r="D11" s="173">
        <v>101965</v>
      </c>
    </row>
    <row r="12" spans="1:4" x14ac:dyDescent="0.3">
      <c r="A12" s="176">
        <v>9</v>
      </c>
      <c r="B12" s="172">
        <v>8681.83</v>
      </c>
      <c r="C12" s="172">
        <f t="shared" si="0"/>
        <v>26045.489999999998</v>
      </c>
      <c r="D12" s="177">
        <v>104182</v>
      </c>
    </row>
    <row r="13" spans="1:4" x14ac:dyDescent="0.3">
      <c r="A13" s="176">
        <v>10</v>
      </c>
      <c r="B13" s="172">
        <v>8866.5</v>
      </c>
      <c r="C13" s="172">
        <f t="shared" si="0"/>
        <v>26599.5</v>
      </c>
      <c r="D13" s="173">
        <v>106398</v>
      </c>
    </row>
    <row r="14" spans="1:4" x14ac:dyDescent="0.3">
      <c r="A14" s="176">
        <v>11</v>
      </c>
      <c r="B14" s="172">
        <v>9051.25</v>
      </c>
      <c r="C14" s="172">
        <f t="shared" si="0"/>
        <v>27153.75</v>
      </c>
      <c r="D14" s="173">
        <v>108615</v>
      </c>
    </row>
    <row r="15" spans="1:4" x14ac:dyDescent="0.3">
      <c r="A15" s="176">
        <v>12</v>
      </c>
      <c r="B15" s="172">
        <v>9236</v>
      </c>
      <c r="C15" s="172">
        <f t="shared" si="0"/>
        <v>27708</v>
      </c>
      <c r="D15" s="173">
        <v>110832</v>
      </c>
    </row>
    <row r="16" spans="1:4" x14ac:dyDescent="0.3">
      <c r="A16" s="176">
        <v>13</v>
      </c>
      <c r="B16" s="172">
        <v>9420.67</v>
      </c>
      <c r="C16" s="172">
        <f t="shared" si="0"/>
        <v>28262.010000000002</v>
      </c>
      <c r="D16" s="173">
        <v>113048</v>
      </c>
    </row>
    <row r="17" spans="1:4" x14ac:dyDescent="0.3">
      <c r="A17" s="176">
        <v>14</v>
      </c>
      <c r="B17" s="172">
        <v>9605.42</v>
      </c>
      <c r="C17" s="172">
        <f t="shared" si="0"/>
        <v>28816.260000000002</v>
      </c>
      <c r="D17" s="173">
        <v>115265</v>
      </c>
    </row>
    <row r="18" spans="1:4" x14ac:dyDescent="0.3">
      <c r="A18" s="176">
        <v>15</v>
      </c>
      <c r="B18" s="172">
        <v>9790.08</v>
      </c>
      <c r="C18" s="172">
        <f t="shared" si="0"/>
        <v>29370.239999999998</v>
      </c>
      <c r="D18" s="173">
        <v>117481</v>
      </c>
    </row>
    <row r="19" spans="1:4" x14ac:dyDescent="0.3">
      <c r="A19" s="176">
        <v>16</v>
      </c>
      <c r="B19" s="172">
        <v>9974.83</v>
      </c>
      <c r="C19" s="172">
        <f t="shared" si="0"/>
        <v>29924.489999999998</v>
      </c>
      <c r="D19" s="173">
        <v>119698</v>
      </c>
    </row>
    <row r="20" spans="1:4" x14ac:dyDescent="0.3">
      <c r="A20" s="176">
        <v>17</v>
      </c>
      <c r="B20" s="172">
        <v>10159.58</v>
      </c>
      <c r="C20" s="172">
        <f t="shared" si="0"/>
        <v>30478.739999999998</v>
      </c>
      <c r="D20" s="173">
        <v>121915</v>
      </c>
    </row>
    <row r="21" spans="1:4" x14ac:dyDescent="0.3">
      <c r="A21" s="176">
        <v>18</v>
      </c>
      <c r="B21" s="172">
        <v>10344.25</v>
      </c>
      <c r="C21" s="172">
        <f t="shared" si="0"/>
        <v>31032.75</v>
      </c>
      <c r="D21" s="173">
        <v>124131</v>
      </c>
    </row>
    <row r="22" spans="1:4" x14ac:dyDescent="0.3">
      <c r="A22" s="176">
        <v>19</v>
      </c>
      <c r="B22" s="172">
        <v>10529</v>
      </c>
      <c r="C22" s="172">
        <f t="shared" si="0"/>
        <v>31587</v>
      </c>
      <c r="D22" s="173">
        <v>126348</v>
      </c>
    </row>
    <row r="23" spans="1:4" x14ac:dyDescent="0.3">
      <c r="A23" s="176">
        <v>20</v>
      </c>
      <c r="B23" s="172">
        <v>10713.75</v>
      </c>
      <c r="C23" s="172">
        <f t="shared" si="0"/>
        <v>32141.25</v>
      </c>
      <c r="D23" s="173">
        <v>128565</v>
      </c>
    </row>
    <row r="31" spans="1:4" ht="15" customHeight="1" x14ac:dyDescent="0.3"/>
    <row r="32" spans="1:4" ht="15" customHeight="1" x14ac:dyDescent="0.3"/>
    <row r="33" ht="15" customHeight="1" x14ac:dyDescent="0.3"/>
    <row r="34" ht="15" customHeight="1" x14ac:dyDescent="0.3"/>
    <row r="35" ht="15" customHeight="1" x14ac:dyDescent="0.3"/>
    <row r="36" ht="15" customHeight="1" x14ac:dyDescent="0.3"/>
    <row r="37" ht="15" customHeight="1" x14ac:dyDescent="0.3"/>
    <row r="38" ht="15" customHeight="1" x14ac:dyDescent="0.3"/>
    <row r="39" ht="15" customHeight="1" x14ac:dyDescent="0.3"/>
    <row r="40" ht="15" customHeight="1" x14ac:dyDescent="0.3"/>
    <row r="41" ht="15" customHeight="1" x14ac:dyDescent="0.3"/>
    <row r="42" ht="15" customHeight="1" x14ac:dyDescent="0.3"/>
    <row r="43" ht="15" customHeight="1" x14ac:dyDescent="0.3"/>
    <row r="44" ht="15" customHeight="1" x14ac:dyDescent="0.3"/>
    <row r="45" ht="15" customHeight="1" x14ac:dyDescent="0.3"/>
    <row r="46" ht="15" customHeight="1" x14ac:dyDescent="0.3"/>
    <row r="47" ht="15" customHeight="1" x14ac:dyDescent="0.3"/>
    <row r="48" ht="15" customHeight="1" x14ac:dyDescent="0.3"/>
    <row r="49" ht="15" customHeight="1" x14ac:dyDescent="0.3"/>
    <row r="50" ht="15" customHeight="1" x14ac:dyDescent="0.3"/>
    <row r="51" ht="15" customHeight="1" x14ac:dyDescent="0.3"/>
    <row r="52" ht="15" customHeight="1" x14ac:dyDescent="0.3"/>
    <row r="53" ht="15" customHeight="1" x14ac:dyDescent="0.3"/>
    <row r="54" ht="15" customHeight="1" x14ac:dyDescent="0.3"/>
    <row r="55" ht="15" customHeight="1" x14ac:dyDescent="0.3"/>
  </sheetData>
  <mergeCells count="1">
    <mergeCell ref="A1:D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B33"/>
  <sheetViews>
    <sheetView workbookViewId="0">
      <selection activeCell="K17" sqref="K17"/>
    </sheetView>
  </sheetViews>
  <sheetFormatPr defaultRowHeight="12.5" x14ac:dyDescent="0.25"/>
  <cols>
    <col min="1" max="1" width="25.54296875" bestFit="1" customWidth="1"/>
  </cols>
  <sheetData>
    <row r="1" spans="1:2" s="1" customFormat="1" ht="24" customHeight="1" x14ac:dyDescent="0.25">
      <c r="A1" s="2" t="s">
        <v>106</v>
      </c>
    </row>
    <row r="2" spans="1:2" x14ac:dyDescent="0.25">
      <c r="A2" t="s">
        <v>149</v>
      </c>
      <c r="B2" t="s">
        <v>150</v>
      </c>
    </row>
    <row r="3" spans="1:2" x14ac:dyDescent="0.25">
      <c r="A3" t="s">
        <v>112</v>
      </c>
      <c r="B3" t="s">
        <v>80</v>
      </c>
    </row>
    <row r="4" spans="1:2" x14ac:dyDescent="0.25">
      <c r="A4" t="s">
        <v>113</v>
      </c>
      <c r="B4" t="s">
        <v>81</v>
      </c>
    </row>
    <row r="5" spans="1:2" x14ac:dyDescent="0.25">
      <c r="A5" t="s">
        <v>114</v>
      </c>
      <c r="B5" t="s">
        <v>92</v>
      </c>
    </row>
    <row r="6" spans="1:2" x14ac:dyDescent="0.25">
      <c r="A6" t="s">
        <v>115</v>
      </c>
      <c r="B6" t="s">
        <v>93</v>
      </c>
    </row>
    <row r="7" spans="1:2" x14ac:dyDescent="0.25">
      <c r="A7" t="s">
        <v>116</v>
      </c>
      <c r="B7" t="s">
        <v>94</v>
      </c>
    </row>
    <row r="8" spans="1:2" x14ac:dyDescent="0.25">
      <c r="A8" t="s">
        <v>82</v>
      </c>
      <c r="B8" t="s">
        <v>163</v>
      </c>
    </row>
    <row r="9" spans="1:2" x14ac:dyDescent="0.25">
      <c r="A9" t="s">
        <v>83</v>
      </c>
      <c r="B9" t="s">
        <v>164</v>
      </c>
    </row>
    <row r="10" spans="1:2" x14ac:dyDescent="0.25">
      <c r="A10" t="s">
        <v>107</v>
      </c>
      <c r="B10" t="s">
        <v>165</v>
      </c>
    </row>
    <row r="11" spans="1:2" x14ac:dyDescent="0.25">
      <c r="A11" t="s">
        <v>159</v>
      </c>
      <c r="B11" t="s">
        <v>166</v>
      </c>
    </row>
    <row r="12" spans="1:2" x14ac:dyDescent="0.25">
      <c r="A12" t="s">
        <v>84</v>
      </c>
      <c r="B12" t="s">
        <v>85</v>
      </c>
    </row>
    <row r="13" spans="1:2" x14ac:dyDescent="0.25">
      <c r="A13" t="s">
        <v>86</v>
      </c>
      <c r="B13" t="s">
        <v>87</v>
      </c>
    </row>
    <row r="14" spans="1:2" x14ac:dyDescent="0.25">
      <c r="A14" t="s">
        <v>108</v>
      </c>
      <c r="B14" t="s">
        <v>167</v>
      </c>
    </row>
    <row r="15" spans="1:2" x14ac:dyDescent="0.25">
      <c r="A15" t="s">
        <v>117</v>
      </c>
      <c r="B15" t="s">
        <v>168</v>
      </c>
    </row>
    <row r="16" spans="1:2" x14ac:dyDescent="0.25">
      <c r="A16" t="s">
        <v>109</v>
      </c>
      <c r="B16" t="s">
        <v>169</v>
      </c>
    </row>
    <row r="17" spans="1:2" x14ac:dyDescent="0.25">
      <c r="A17" t="s">
        <v>88</v>
      </c>
      <c r="B17" t="s">
        <v>169</v>
      </c>
    </row>
    <row r="18" spans="1:2" x14ac:dyDescent="0.25">
      <c r="A18" t="s">
        <v>110</v>
      </c>
      <c r="B18" t="s">
        <v>170</v>
      </c>
    </row>
    <row r="19" spans="1:2" x14ac:dyDescent="0.25">
      <c r="A19" t="s">
        <v>89</v>
      </c>
      <c r="B19" t="s">
        <v>170</v>
      </c>
    </row>
    <row r="20" spans="1:2" x14ac:dyDescent="0.25">
      <c r="A20" t="s">
        <v>90</v>
      </c>
      <c r="B20" t="s">
        <v>91</v>
      </c>
    </row>
    <row r="21" spans="1:2" x14ac:dyDescent="0.25">
      <c r="A21" t="s">
        <v>160</v>
      </c>
      <c r="B21" t="s">
        <v>171</v>
      </c>
    </row>
    <row r="22" spans="1:2" x14ac:dyDescent="0.25">
      <c r="A22" t="s">
        <v>118</v>
      </c>
      <c r="B22" t="s">
        <v>172</v>
      </c>
    </row>
    <row r="23" spans="1:2" x14ac:dyDescent="0.25">
      <c r="A23" t="s">
        <v>95</v>
      </c>
      <c r="B23" t="s">
        <v>173</v>
      </c>
    </row>
    <row r="24" spans="1:2" x14ac:dyDescent="0.25">
      <c r="A24" t="s">
        <v>96</v>
      </c>
      <c r="B24" t="s">
        <v>174</v>
      </c>
    </row>
    <row r="25" spans="1:2" x14ac:dyDescent="0.25">
      <c r="A25" t="s">
        <v>111</v>
      </c>
      <c r="B25" t="s">
        <v>175</v>
      </c>
    </row>
    <row r="26" spans="1:2" x14ac:dyDescent="0.25">
      <c r="A26" t="s">
        <v>161</v>
      </c>
      <c r="B26" t="s">
        <v>176</v>
      </c>
    </row>
    <row r="27" spans="1:2" x14ac:dyDescent="0.25">
      <c r="A27" t="s">
        <v>97</v>
      </c>
      <c r="B27" t="s">
        <v>98</v>
      </c>
    </row>
    <row r="28" spans="1:2" x14ac:dyDescent="0.25">
      <c r="A28" t="s">
        <v>99</v>
      </c>
      <c r="B28" t="s">
        <v>177</v>
      </c>
    </row>
    <row r="29" spans="1:2" x14ac:dyDescent="0.25">
      <c r="A29" t="s">
        <v>100</v>
      </c>
      <c r="B29" t="s">
        <v>178</v>
      </c>
    </row>
    <row r="30" spans="1:2" x14ac:dyDescent="0.25">
      <c r="A30" t="s">
        <v>101</v>
      </c>
      <c r="B30" t="s">
        <v>179</v>
      </c>
    </row>
    <row r="31" spans="1:2" x14ac:dyDescent="0.25">
      <c r="A31" t="s">
        <v>102</v>
      </c>
      <c r="B31" t="s">
        <v>103</v>
      </c>
    </row>
    <row r="32" spans="1:2" x14ac:dyDescent="0.25">
      <c r="A32" t="s">
        <v>162</v>
      </c>
      <c r="B32" t="s">
        <v>180</v>
      </c>
    </row>
    <row r="33" spans="1:2" x14ac:dyDescent="0.25">
      <c r="A33" t="s">
        <v>104</v>
      </c>
      <c r="B33" t="s">
        <v>105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40</vt:i4>
      </vt:variant>
    </vt:vector>
  </HeadingPairs>
  <TitlesOfParts>
    <vt:vector size="46" baseType="lpstr">
      <vt:lpstr>Benefits</vt:lpstr>
      <vt:lpstr>Computation</vt:lpstr>
      <vt:lpstr>HT_Proxy</vt:lpstr>
      <vt:lpstr>PB_Proxy</vt:lpstr>
      <vt:lpstr>SMI_Lookup</vt:lpstr>
      <vt:lpstr>Cell_Reference</vt:lpstr>
      <vt:lpstr>B_Cat_Eligible</vt:lpstr>
      <vt:lpstr>B_Dwelling_Type</vt:lpstr>
      <vt:lpstr>B_Dwelling_Type_ID</vt:lpstr>
      <vt:lpstr>B_Income</vt:lpstr>
      <vt:lpstr>B_Num_People</vt:lpstr>
      <vt:lpstr>B_Num_Rooms</vt:lpstr>
      <vt:lpstr>El_Usage</vt:lpstr>
      <vt:lpstr>HT_Benefit_FPL</vt:lpstr>
      <vt:lpstr>HT_Benefit_Ratio</vt:lpstr>
      <vt:lpstr>HT_Electric_Baseload</vt:lpstr>
      <vt:lpstr>HT_FPL_Not_Eligible</vt:lpstr>
      <vt:lpstr>HT_Fuel_Cost</vt:lpstr>
      <vt:lpstr>HT_Fuel_Type</vt:lpstr>
      <vt:lpstr>HT_Funding_Factor</vt:lpstr>
      <vt:lpstr>HT_Heat_Cost</vt:lpstr>
      <vt:lpstr>HT_Max_Benefit</vt:lpstr>
      <vt:lpstr>HT_Maximum_Benefit</vt:lpstr>
      <vt:lpstr>HT_Min_Benefit</vt:lpstr>
      <vt:lpstr>HT_Minimum_Benefit</vt:lpstr>
      <vt:lpstr>HT_Proxy</vt:lpstr>
      <vt:lpstr>HT_Shared_Business_Meter</vt:lpstr>
      <vt:lpstr>HT_SMI_Not_Eligible</vt:lpstr>
      <vt:lpstr>PB_Baseload_Cost</vt:lpstr>
      <vt:lpstr>PB_Benefit_FPL</vt:lpstr>
      <vt:lpstr>PB_Benefit_Ratio</vt:lpstr>
      <vt:lpstr>PB_Electric_Baseload</vt:lpstr>
      <vt:lpstr>PB_FPL_Not_Eligible</vt:lpstr>
      <vt:lpstr>PB_Fuel_Cost</vt:lpstr>
      <vt:lpstr>PB_Funding_Factor</vt:lpstr>
      <vt:lpstr>PB_Maximum_Benefit</vt:lpstr>
      <vt:lpstr>PB_Minimum_Benefit</vt:lpstr>
      <vt:lpstr>PB_Proxy</vt:lpstr>
      <vt:lpstr>PB_Shared_Business_Meter</vt:lpstr>
      <vt:lpstr>PB_SMI_Not_Eligible</vt:lpstr>
      <vt:lpstr>PB_Vendor</vt:lpstr>
      <vt:lpstr>Benefits!Print_Area</vt:lpstr>
      <vt:lpstr>Cell_Reference!Print_Area</vt:lpstr>
      <vt:lpstr>Computation!Print_Area</vt:lpstr>
      <vt:lpstr>HT_Proxy!Print_Area</vt:lpstr>
      <vt:lpstr>PB_Proxy!Print_Area</vt:lpstr>
    </vt:vector>
  </TitlesOfParts>
  <Manager>Jerry.Kotek@wisconsin.gov</Manager>
  <Company>Energy Center of Wisconsin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Ingo Bensch - ECW (Originator);Jerry.Kotek@wisconsin.gov</dc:creator>
  <cp:lastModifiedBy>Davis, Bobbi - DOA</cp:lastModifiedBy>
  <cp:lastPrinted>2023-08-15T14:37:46Z</cp:lastPrinted>
  <dcterms:created xsi:type="dcterms:W3CDTF">2000-10-26T19:45:18Z</dcterms:created>
  <dcterms:modified xsi:type="dcterms:W3CDTF">2025-08-22T13:07:47Z</dcterms:modified>
</cp:coreProperties>
</file>